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680.2402528977874" activeTab="5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Т-подкл'!$121:$123</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Т-подкл'!$124:$126</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тарифов'!$92:$116</definedName>
    <definedName name="BLOCK_PT_HEAT">'Перечень тарифов'!$13:$90</definedName>
    <definedName name="BLOCK_PT_HEAT_NOT_R">'Перечень тарифов'!$76:$80</definedName>
    <definedName name="BLOCK_PT_HEAT_NOT_R_TMP">'Перечень тарифов'!$71:$75</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тарифов'!$118:$132</definedName>
    <definedName name="BLOCK_PT_VOTV">'Перечень тарифов'!$134:$148</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территорий'!$E$21:$I$21</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тарифов'!$Z$12:$Z$150</definedName>
    <definedName name="DIFFERENTIATION_TARIFF_VD_ID">'Перечень тарифов'!$AB$12:$AB$150</definedName>
    <definedName name="DIFFERENTIATION_TARIFF_VTAR_ID">'Перечень тарифов'!$AA$12:$AA$150</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Предложение!$L$87</definedName>
    <definedName name="OFFER_METHOD">Предложение!$K$24:$K$85</definedName>
    <definedName name="OFFER_METHOD_FLAG">TEHSHEET!$L$6</definedName>
    <definedName name="OFFER_TARIFF_A_1">Предложение!$24:$26</definedName>
    <definedName name="OFFER_TARIFF_A_2">Предложение!$89:$91</definedName>
    <definedName name="OFFER_TARIFF_A_3">Предложение!$152:$154</definedName>
    <definedName name="OFFER_TARIFF_A_4">Предложение!$215:$217</definedName>
    <definedName name="OFFER_TARIFF_A_5">Предложение!$278:$280</definedName>
    <definedName name="OFFER_TARIFF_A_COLDVSNA_1">Предложение!$53:$55</definedName>
    <definedName name="OFFER_TARIFF_A_COLDVSNA_2">Предложение!$118:$120</definedName>
    <definedName name="OFFER_TARIFF_A_COLDVSNA_3">Предложение!$181:$183</definedName>
    <definedName name="OFFER_TARIFF_A_COLDVSNA_4">Предложение!$244:$246</definedName>
    <definedName name="OFFER_TARIFF_A_COLDVSNA_5">Предложение!$307:$309</definedName>
    <definedName name="OFFER_TARIFF_A_HOTVSNA_1">Предложение!$68:$70</definedName>
    <definedName name="OFFER_TARIFF_A_HOTVSNA_2">Предложение!$133:$135</definedName>
    <definedName name="OFFER_TARIFF_A_HOTVSNA_3">Предложение!$196:$198</definedName>
    <definedName name="OFFER_TARIFF_A_HOTVSNA_4">Предложение!$259:$261</definedName>
    <definedName name="OFFER_TARIFF_A_HOTVSNA_5">Предложение!$322:$324</definedName>
    <definedName name="OFFER_TARIFF_A_VOTV_1">Предложение!$77:$79</definedName>
    <definedName name="OFFER_TARIFF_A_VOTV_2">Предложение!$142:$144</definedName>
    <definedName name="OFFER_TARIFF_A_VOTV_3">Предложение!$205:$207</definedName>
    <definedName name="OFFER_TARIFF_A_VOTV_4">Предложение!$268:$270</definedName>
    <definedName name="OFFER_TARIFF_A_VOTV_5">Предложение!$331:$333</definedName>
    <definedName name="OFFER_TARIFF_B_1">Предложение!$27:$29</definedName>
    <definedName name="OFFER_TARIFF_B_2">Предложение!$92:$94</definedName>
    <definedName name="OFFER_TARIFF_B_3">Предложение!$155:$157</definedName>
    <definedName name="OFFER_TARIFF_B_4">Предложение!$218:$220</definedName>
    <definedName name="OFFER_TARIFF_B_5">Предложение!$281:$283</definedName>
    <definedName name="OFFER_TARIFF_B_COLDVSNA_1">Предложение!$56:$58</definedName>
    <definedName name="OFFER_TARIFF_B_COLDVSNA_2">Предложение!$121:$123</definedName>
    <definedName name="OFFER_TARIFF_B_COLDVSNA_3">Предложение!$184:$186</definedName>
    <definedName name="OFFER_TARIFF_B_COLDVSNA_4">Предложение!$247:$249</definedName>
    <definedName name="OFFER_TARIFF_B_COLDVSNA_5">Предложение!$310:$312</definedName>
    <definedName name="OFFER_TARIFF_B_HOTVSNA_1">Предложение!$71:$73</definedName>
    <definedName name="OFFER_TARIFF_B_HOTVSNA_2">Предложение!$136:$138</definedName>
    <definedName name="OFFER_TARIFF_B_HOTVSNA_3">Предложение!$199:$201</definedName>
    <definedName name="OFFER_TARIFF_B_HOTVSNA_4">Предложение!$262:$264</definedName>
    <definedName name="OFFER_TARIFF_B_HOTVSNA_5">Предложение!$325:$327</definedName>
    <definedName name="OFFER_TARIFF_B_VOTV_1">Предложение!$80:$82</definedName>
    <definedName name="OFFER_TARIFF_B_VOTV_2">Предложение!$145:$147</definedName>
    <definedName name="OFFER_TARIFF_B_VOTV_3">Предложение!$208:$210</definedName>
    <definedName name="OFFER_TARIFF_B_VOTV_4">Предложение!$271:$273</definedName>
    <definedName name="OFFER_TARIFF_B_VOTV_5">Предложение!$334:$336</definedName>
    <definedName name="OFFER_TARIFF_C_1">Предложение!$30:$32</definedName>
    <definedName name="OFFER_TARIFF_C_2">Предложение!$95:$97</definedName>
    <definedName name="OFFER_TARIFF_C_3">Предложение!$158:$160</definedName>
    <definedName name="OFFER_TARIFF_C_4">Предложение!$221:$223</definedName>
    <definedName name="OFFER_TARIFF_C_5">Предложение!$284:$286</definedName>
    <definedName name="OFFER_TARIFF_C_COLDVSNA_1">Предложение!$59:$61</definedName>
    <definedName name="OFFER_TARIFF_C_COLDVSNA_2">Предложение!$124:$126</definedName>
    <definedName name="OFFER_TARIFF_C_COLDVSNA_3">Предложение!$187:$189</definedName>
    <definedName name="OFFER_TARIFF_C_COLDVSNA_4">Предложение!$250:$252</definedName>
    <definedName name="OFFER_TARIFF_C_COLDVSNA_5">Предложение!$313:$315</definedName>
    <definedName name="OFFER_TARIFF_C_HOTVSNA_1">Предложение!$74:$76</definedName>
    <definedName name="OFFER_TARIFF_C_HOTVSNA_2">Предложение!$139:$141</definedName>
    <definedName name="OFFER_TARIFF_C_HOTVSNA_3">Предложение!$202:$204</definedName>
    <definedName name="OFFER_TARIFF_C_HOTVSNA_4">Предложение!$265:$267</definedName>
    <definedName name="OFFER_TARIFF_C_HOTVSNA_5">Предложение!$328:$330</definedName>
    <definedName name="OFFER_TARIFF_C_VOTV_1">Предложение!$83:$85</definedName>
    <definedName name="OFFER_TARIFF_C_VOTV_2">Предложение!$148:$150</definedName>
    <definedName name="OFFER_TARIFF_C_VOTV_3">Предложение!$211:$213</definedName>
    <definedName name="OFFER_TARIFF_C_VOTV_4">Предложение!$274:$276</definedName>
    <definedName name="OFFER_TARIFF_C_VOTV_5">Предложение!$337:$339</definedName>
    <definedName name="OFFER_TARIFF_D_1">Предложение!$33:$35</definedName>
    <definedName name="OFFER_TARIFF_D_2">Предложение!$98:$100</definedName>
    <definedName name="OFFER_TARIFF_D_3">Предложение!$161:$163</definedName>
    <definedName name="OFFER_TARIFF_D_4">Предложение!$224:$226</definedName>
    <definedName name="OFFER_TARIFF_D_5">Предложение!$287:$289</definedName>
    <definedName name="OFFER_TARIFF_D_COLDVSNA_1">Предложение!$62:$64</definedName>
    <definedName name="OFFER_TARIFF_D_COLDVSNA_2">Предложение!$127:$129</definedName>
    <definedName name="OFFER_TARIFF_D_COLDVSNA_3">Предложение!$190:$192</definedName>
    <definedName name="OFFER_TARIFF_D_COLDVSNA_4">Предложение!$253:$255</definedName>
    <definedName name="OFFER_TARIFF_D_COLDVSNA_5">Предложение!$316:$318</definedName>
    <definedName name="OFFER_TARIFF_E_COLDVSNA_1">Предложение!$65:$67</definedName>
    <definedName name="OFFER_TARIFF_E_COLDVSNA_2">Предложение!$130:$132</definedName>
    <definedName name="OFFER_TARIFF_E_COLDVSNA_3">Предложение!$193:$195</definedName>
    <definedName name="OFFER_TARIFF_E_COLDVSNA_4">Предложение!$256:$258</definedName>
    <definedName name="OFFER_TARIFF_E_COLDVSNA_5">Предложение!$319:$321</definedName>
    <definedName name="OFFER_TARIFF_E1_1">Предложение!$36:$38</definedName>
    <definedName name="OFFER_TARIFF_E1_2">Предложение!$101:$103</definedName>
    <definedName name="OFFER_TARIFF_E1_3">Предложение!$164:$166</definedName>
    <definedName name="OFFER_TARIFF_E1_4">Предложение!$227:$229</definedName>
    <definedName name="OFFER_TARIFF_E1_5">Предложение!$290:$292</definedName>
    <definedName name="OFFER_TARIFF_E2_1">Предложение!$39:$41</definedName>
    <definedName name="OFFER_TARIFF_E2_2">Предложение!$104:$106</definedName>
    <definedName name="OFFER_TARIFF_E2_3">Предложение!$167:$169</definedName>
    <definedName name="OFFER_TARIFF_E2_4">Предложение!$230:$232</definedName>
    <definedName name="OFFER_TARIFF_E2_5">Предложение!$293:$295</definedName>
    <definedName name="OFFER_TARIFF_F_1">Предложение!$42:$44</definedName>
    <definedName name="OFFER_TARIFF_F_2">Предложение!$107:$109</definedName>
    <definedName name="OFFER_TARIFF_F_3">Предложение!$170:$172</definedName>
    <definedName name="OFFER_TARIFF_F_4">Предложение!$233:$235</definedName>
    <definedName name="OFFER_TARIFF_F_5">Предложение!$296:$298</definedName>
    <definedName name="OFFER_TARIFF_G_1">Предложение!$45:$49</definedName>
    <definedName name="OFFER_TARIFF_G_2">Предложение!$110:$114</definedName>
    <definedName name="OFFER_TARIFF_G_3">Предложение!$173:$177</definedName>
    <definedName name="OFFER_TARIFF_G_4">Предложение!$236:$240</definedName>
    <definedName name="OFFER_TARIFF_G_5">Предложение!$299:$303</definedName>
    <definedName name="OFFER_TARIFF_H_1">Предложение!$50:$52</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территорий'!$C$12:$C$21</definedName>
    <definedName name="pDel_LT_MO">'Список территорий'!$D$11:$D$21</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территорий'!$G$21</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Предложение!$G$55</definedName>
    <definedName name="pIns_PT_VTAR_A_COLDVSNA_OFFER_2">Предложение!$G$120</definedName>
    <definedName name="pIns_PT_VTAR_A_COLDVSNA_OFFER_3">Предложение!$G$183</definedName>
    <definedName name="pIns_PT_VTAR_A_COLDVSNA_OFFER_4">Предложение!$G$246</definedName>
    <definedName name="pIns_PT_VTAR_A_COLDVSNA_OFFER_5">Предложение!$G$309</definedName>
    <definedName name="pIns_PT_VTAR_A_COLDVSNA_OFFER5">Предложение!$G$309</definedName>
    <definedName name="pIns_PT_VTAR_A_HOTVSNA">'ГВС. Т-гор.вода'!$T$54</definedName>
    <definedName name="pIns_PT_VTAR_A_HOTVSNA_OFFER_1">Предложение!$G$70</definedName>
    <definedName name="pIns_PT_VTAR_A_HOTVSNA_OFFER_2">Предложение!$G$135</definedName>
    <definedName name="pIns_PT_VTAR_A_HOTVSNA_OFFER_3">Предложение!$G$198</definedName>
    <definedName name="pIns_PT_VTAR_A_HOTVSNA_OFFER_4">Предложение!$G$261</definedName>
    <definedName name="pIns_PT_VTAR_A_HOTVSNA_OFFER_5">Предложение!$G$324</definedName>
    <definedName name="pIns_PT_VTAR_A_OFFER_1">Предложение!$G$26</definedName>
    <definedName name="pIns_PT_VTAR_A_OFFER_2">Предложение!$G$91</definedName>
    <definedName name="pIns_PT_VTAR_A_OFFER_3">Предложение!$G$154</definedName>
    <definedName name="pIns_PT_VTAR_A_OFFER_4">Предложение!$G$217</definedName>
    <definedName name="pIns_PT_VTAR_A_OFFER_5">Предложение!$G$280</definedName>
    <definedName name="pIns_PT_VTAR_A_VOTV">'ВО. Т-во'!$T$53</definedName>
    <definedName name="pIns_PT_VTAR_A_VOTV_OFFER_1">Предложение!$G$79</definedName>
    <definedName name="pIns_PT_VTAR_A_VOTV_OFFER_2">Предложение!$G$144</definedName>
    <definedName name="pIns_PT_VTAR_A_VOTV_OFFER_3">Предложение!$G$207</definedName>
    <definedName name="pIns_PT_VTAR_A_VOTV_OFFER_4">Предложение!$G$270</definedName>
    <definedName name="pIns_PT_VTAR_A_VOTV_OFFER_5">Предложение!$G$333</definedName>
    <definedName name="pIns_PT_VTAR_B">'ТС. Т-ТЭ | ТСО'!$T$57</definedName>
    <definedName name="pIns_PT_VTAR_B_COLDVSNA">'ХВС. Т-тех'!$T$53</definedName>
    <definedName name="pIns_PT_VTAR_B_COLDVSNA_OFFER_1">Предложение!$G$58</definedName>
    <definedName name="pIns_PT_VTAR_B_COLDVSNA_OFFER_2">Предложение!$G$123</definedName>
    <definedName name="pIns_PT_VTAR_B_COLDVSNA_OFFER_3">Предложение!$G$186</definedName>
    <definedName name="pIns_PT_VTAR_B_COLDVSNA_OFFER_4">Предложение!$G$249</definedName>
    <definedName name="pIns_PT_VTAR_B_COLDVSNA_OFFER_5">Предложение!$G$312</definedName>
    <definedName name="pIns_PT_VTAR_B_HOTVSNA">'ГВС. Т-транс'!$T$54</definedName>
    <definedName name="pIns_PT_VTAR_B_HOTVSNA_OFFER_1">Предложение!$G$73</definedName>
    <definedName name="pIns_PT_VTAR_B_HOTVSNA_OFFER_2">Предложение!$G$138</definedName>
    <definedName name="pIns_PT_VTAR_B_HOTVSNA_OFFER_3">Предложение!$G$201</definedName>
    <definedName name="pIns_PT_VTAR_B_HOTVSNA_OFFER_4">Предложение!$G$264</definedName>
    <definedName name="pIns_PT_VTAR_B_HOTVSNA_OFFER_5">Предложение!$G$327</definedName>
    <definedName name="pIns_PT_VTAR_B_OFFER_1">Предложение!$G$29</definedName>
    <definedName name="pIns_PT_VTAR_B_OFFER_2">Предложение!$G$94</definedName>
    <definedName name="pIns_PT_VTAR_B_OFFER_3">Предложение!$G$157</definedName>
    <definedName name="pIns_PT_VTAR_B_OFFER_4">Предложение!$G$220</definedName>
    <definedName name="pIns_PT_VTAR_B_OFFER_5">Предложение!$G$283</definedName>
    <definedName name="pIns_PT_VTAR_B_VOTV">'ВО. Т-транс'!$T$53</definedName>
    <definedName name="pIns_PT_VTAR_B_VOTV_OFFER_1">Предложение!$G$82</definedName>
    <definedName name="pIns_PT_VTAR_B_VOTV_OFFER_2">Предложение!$G$147</definedName>
    <definedName name="pIns_PT_VTAR_B_VOTV_OFFER_3">Предложение!$G$210</definedName>
    <definedName name="pIns_PT_VTAR_B_VOTV_OFFER_4">Предложение!$G$273</definedName>
    <definedName name="pIns_PT_VTAR_B_VOTV_OFFER_5">Предложение!$G$336</definedName>
    <definedName name="pIns_PT_VTAR_C">'ТС. Т-ТН'!$T$57</definedName>
    <definedName name="pIns_PT_VTAR_C_COLDVSNA">'ХВС. Т-транс'!$T$53</definedName>
    <definedName name="pIns_PT_VTAR_C_COLDVSNA_OFFER_1">Предложение!$G$61</definedName>
    <definedName name="pIns_PT_VTAR_C_COLDVSNA_OFFER_2">Предложение!$G$126</definedName>
    <definedName name="pIns_PT_VTAR_C_COLDVSNA_OFFER_3">Предложение!$G$189</definedName>
    <definedName name="pIns_PT_VTAR_C_COLDVSNA_OFFER_4">Предложение!$G$252</definedName>
    <definedName name="pIns_PT_VTAR_C_COLDVSNA_OFFER_5">Предложение!$G$315</definedName>
    <definedName name="pIns_PT_VTAR_C_HOTVSNA">'ГВС. Т-подкл'!$T$63</definedName>
    <definedName name="pIns_PT_VTAR_C_HOTVSNA_OFFER_1">Предложение!$G$76</definedName>
    <definedName name="pIns_PT_VTAR_C_HOTVSNA_OFFER_2">Предложение!$G$141</definedName>
    <definedName name="pIns_PT_VTAR_C_HOTVSNA_OFFER_3">Предложение!$G$204</definedName>
    <definedName name="pIns_PT_VTAR_C_HOTVSNA_OFFER_4">Предложение!$G$267</definedName>
    <definedName name="pIns_PT_VTAR_C_HOTVSNA_OFFER_5">Предложение!$G$330</definedName>
    <definedName name="pIns_PT_VTAR_C_OFFER_1">Предложение!$G$32</definedName>
    <definedName name="pIns_PT_VTAR_C_OFFER_2">Предложение!$G$97</definedName>
    <definedName name="pIns_PT_VTAR_C_OFFER_3">Предложение!$G$160</definedName>
    <definedName name="pIns_PT_VTAR_C_OFFER_4">Предложение!$G$223</definedName>
    <definedName name="pIns_PT_VTAR_C_OFFER_5">Предложение!$G$286</definedName>
    <definedName name="pIns_PT_VTAR_C_VOTV">'ВО. Т-подкл'!$T$63</definedName>
    <definedName name="pIns_PT_VTAR_C_VOTV_OFFER_1">Предложение!$G$85</definedName>
    <definedName name="pIns_PT_VTAR_C_VOTV_OFFER_2">Предложение!$G$150</definedName>
    <definedName name="pIns_PT_VTAR_C_VOTV_OFFER_3">Предложение!$G$213</definedName>
    <definedName name="pIns_PT_VTAR_C_VOTV_OFFER_4">Предложение!$G$276</definedName>
    <definedName name="pIns_PT_VTAR_C_VOTV_OFFER_5">Предложение!$G$339</definedName>
    <definedName name="pIns_PT_VTAR_D">'ТС. Т-гор.вода'!$V$65</definedName>
    <definedName name="pIns_PT_VTAR_D_COLDVSNA">'ХВС. Т-подвоз'!$T$53</definedName>
    <definedName name="pIns_PT_VTAR_D_COLDVSNA_OFFER_1">Предложение!$G$64</definedName>
    <definedName name="pIns_PT_VTAR_D_COLDVSNA_OFFER_2">Предложение!$G$129</definedName>
    <definedName name="pIns_PT_VTAR_D_COLDVSNA_OFFER_3">Предложение!$G$192</definedName>
    <definedName name="pIns_PT_VTAR_D_COLDVSNA_OFFER_4">Предложение!$G$255</definedName>
    <definedName name="pIns_PT_VTAR_D_COLDVSNA_OFFER_5">Предложение!$G$318</definedName>
    <definedName name="pIns_PT_VTAR_D_OFFER_1">Предложение!$G$35</definedName>
    <definedName name="pIns_PT_VTAR_D_OFFER_2">Предложение!$G$100</definedName>
    <definedName name="pIns_PT_VTAR_D_OFFER_3">Предложение!$G$163</definedName>
    <definedName name="pIns_PT_VTAR_D_OFFER_4">Предложение!$G$226</definedName>
    <definedName name="pIns_PT_VTAR_D_OFFER_5">Предложение!$G$289</definedName>
    <definedName name="pIns_PT_VTAR_E_COLDVSNA">'ХВС. Т-подкл'!$T$63</definedName>
    <definedName name="pIns_PT_VTAR_E_COLDVSNA_OFFER_1">Предложение!$G$67</definedName>
    <definedName name="pIns_PT_VTAR_E_COLDVSNA_OFFER_2">Предложение!$G$132</definedName>
    <definedName name="pIns_PT_VTAR_E_COLDVSNA_OFFER_3">Предложение!$G$195</definedName>
    <definedName name="pIns_PT_VTAR_E_COLDVSNA_OFFER_4">Предложение!$G$258</definedName>
    <definedName name="pIns_PT_VTAR_E_COLDVSNA_OFFER_5">Предложение!$G$321</definedName>
    <definedName name="pIns_PT_VTAR_E1">'ТС. Т-передача ТЭ'!$T$57</definedName>
    <definedName name="pIns_PT_VTAR_E1_OFFER_1">Предложение!$G$38</definedName>
    <definedName name="pIns_PT_VTAR_E1_OFFER_2">Предложение!$G$103</definedName>
    <definedName name="pIns_PT_VTAR_E1_OFFER_3">Предложение!$G$166</definedName>
    <definedName name="pIns_PT_VTAR_E1_OFFER_4">Предложение!$G$229</definedName>
    <definedName name="pIns_PT_VTAR_E1_OFFER_5">Предложение!$G$292</definedName>
    <definedName name="pIns_PT_VTAR_E2">'ТС. Т-передача ТН'!$T$57</definedName>
    <definedName name="pIns_PT_VTAR_E2_OFFER_1">Предложение!$G$41</definedName>
    <definedName name="pIns_PT_VTAR_E2_OFFER_2">Предложение!$G$106</definedName>
    <definedName name="pIns_PT_VTAR_E2_OFFER_3">Предложение!$G$169</definedName>
    <definedName name="pIns_PT_VTAR_E2_OFFER_4">Предложение!$G$232</definedName>
    <definedName name="pIns_PT_VTAR_E2_OFFER_5">Предложение!$G$295</definedName>
    <definedName name="pIns_PT_VTAR_F">'ТС. Резерв мощности'!$T$57</definedName>
    <definedName name="pIns_PT_VTAR_F_OFFER_1">Предложение!$G$44</definedName>
    <definedName name="pIns_PT_VTAR_F_OFFER_2">Предложение!$G$109</definedName>
    <definedName name="pIns_PT_VTAR_F_OFFER_3">Предложение!$G$172</definedName>
    <definedName name="pIns_PT_VTAR_F_OFFER_4">Предложение!$G$235</definedName>
    <definedName name="pIns_PT_VTAR_F_OFFER_5">Предложение!$G$298</definedName>
    <definedName name="pIns_PT_VTAR_G">'ТС. Т-подкл'!$T$120</definedName>
    <definedName name="pIns_PT_VTAR_G_OFFER_1">Предложение!$G$49</definedName>
    <definedName name="pIns_PT_VTAR_G_OFFER_2">Предложение!$G$114</definedName>
    <definedName name="pIns_PT_VTAR_G_OFFER_3">Предложение!$G$177</definedName>
    <definedName name="pIns_PT_VTAR_G_OFFER_4">Предложение!$G$240</definedName>
    <definedName name="pIns_PT_VTAR_G_OFFER_5">Предложение!$G$303</definedName>
    <definedName name="pIns_PT_VTAR_H">'ТС. Т-подкл(инд)'!$T$56</definedName>
    <definedName name="pIns_PT_VTAR_H_OFFER_1">Предложение!$G$52</definedName>
    <definedName name="pIns_PT_VTAR_H_OFFER_2">Предложение!$G$117</definedName>
    <definedName name="pIns_PT_VTAR_H_OFFER_3">Предложение!$G$180</definedName>
    <definedName name="pIns_PT_VTAR_H_OFFER_4">Предложение!$G$243</definedName>
    <definedName name="pIns_PT_VTAR_H_OFFER_5">Предложение!$G$306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тарифов'!$AL$12:$AL$150</definedName>
    <definedName name="PT_DIFFERENTIATION_CS_ID">'Перечень тарифов'!$AF$12:$AF$150</definedName>
    <definedName name="PT_DIFFERENTIATION_IST_TE">'Перечень тарифов'!$AM$12:$AM$150</definedName>
    <definedName name="PT_DIFFERENTIATION_IST_TE_ID">'Перечень тарифов'!$AG$12:$AG$150</definedName>
    <definedName name="PT_DIFFERENTIATION_NTAR">'Перечень тарифов'!$AJ$12:$AJ$150</definedName>
    <definedName name="PT_DIFFERENTIATION_NTAR_ID">'Перечень тарифов'!$AD$12:$AD$150</definedName>
    <definedName name="PT_DIFFERENTIATION_NUM_CS">'Перечень тарифов'!$AP$12:$AP$150</definedName>
    <definedName name="PT_DIFFERENTIATION_NUM_IST_TE">'Перечень тарифов'!$AQ$12:$AQ$150</definedName>
    <definedName name="PT_DIFFERENTIATION_NUM_NTAR">'Перечень тарифов'!$AN$12:$AN$150</definedName>
    <definedName name="PT_DIFFERENTIATION_NUM_TER">'Перечень тарифов'!$AO$12:$AO$150</definedName>
    <definedName name="PT_DIFFERENTIATION_TER">'Перечень тарифов'!$AK$12:$AK$150</definedName>
    <definedName name="PT_DIFFERENTIATION_TER_ID">'Перечень тарифов'!$AE$12:$AE$150</definedName>
    <definedName name="PT_DIFFERENTIATION_VDET">'Перечень тарифов'!$AI$12:$AI$150</definedName>
    <definedName name="PT_DIFFERENTIATION_VTAR">'Перечень тарифов'!$AH$12:$AH$150</definedName>
    <definedName name="PT_DIFFERENTIATION_VTAR_ID">'Перечень тарифов'!$AC$12:$AC$150</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тарифов'!$F$76</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Т-подкл'!$45:$89</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тарифов'!$W$149</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Предложение!$L$340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Предложение!$L$340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Т-подкл'!$AT$121</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территорий'!$I$22</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территорий'!$E$11:$I$21</definedName>
    <definedName name="TERRITORY_ID">TEHSHEET!$E$56</definedName>
    <definedName name="TERRITORY_LIST_ID">'Список территорий'!$F$11:$F$21</definedName>
    <definedName name="TERRITORY_MO_LIST">'Список территорий'!$H$11:$H$21</definedName>
    <definedName name="TERRITORY_MR_LIST">'Список территорий'!$G$11:$G$21</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REESTR_IP!$A$2:$I$19</definedName>
    <definedName name="VD_LIST">REESTR_VED!$A$2:$B$11</definedName>
    <definedName name="VD_ID_LIST">REESTR_VED!$A$2:$A$11</definedName>
    <definedName name="VD_NAME_LIST">REESTR_VED!$B$2:$B$11</definedName>
    <definedName name="et_B_FHD20_1">et_union_hor!$127:$135</definedName>
    <definedName name="ter_5">'Список территорий'!$G$16:$I$16</definedName>
    <definedName name="pt_ter_30">'ТС. Т-подкл'!$61:$74</definedName>
    <definedName name="pt_cs_30">'ТС. Т-подкл'!$62:$73</definedName>
    <definedName name="pt_ist_te_30">'ТС. Т-подкл'!$63:$72</definedName>
    <definedName name="pt_ntar_30">'ТС. Т-подкл'!$90:$119</definedName>
    <definedName name="pt_ter_31">'ТС. Т-подкл'!$91:$104</definedName>
    <definedName name="pt_cs_31">'ТС. Т-подкл'!$92:$103</definedName>
    <definedName name="pt_ist_te_31">'ТС. Т-подкл'!$93:$102</definedName>
    <definedName name="ter_51">'Список территорий'!$G$19:$I$19</definedName>
    <definedName name="pt_ter_32">'ТС. Т-подкл'!$75:$88</definedName>
    <definedName name="pt_cs_32">'ТС. Т-подкл'!$76:$87</definedName>
    <definedName name="pt_ist_te_32">'ТС. Т-подкл'!$77:$86</definedName>
    <definedName name="pt_ter_33">'ТС. Т-подкл'!$105:$118</definedName>
    <definedName name="pt_cs_33">'ТС. Т-подкл'!$106:$117</definedName>
    <definedName name="pt_ist_te_33">'ТС. Т-подкл'!$107:$116</definedName>
    <definedName name="DESCRIPTION_TERRITORY">REESTR_DS!$B$2:$B$4</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<sst xmlns="http://schemas.openxmlformats.org/spreadsheetml/2006/main" count="14950" uniqueCount="3719">
  <si>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</si>
  <si>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</si>
  <si>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</si>
  <si>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</si>
  <si>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</si>
  <si>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</si>
  <si>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</si>
  <si>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</si>
  <si>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</si>
  <si>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</si>
  <si>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</si>
  <si>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</si>
  <si>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</si>
  <si>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26470185</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</si>
  <si>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</si>
  <si>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</si>
  <si>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</si>
  <si>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</si>
  <si>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</si>
  <si>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</si>
  <si>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</si>
  <si>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</si>
  <si>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</si>
  <si>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</si>
  <si>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</si>
  <si>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</si>
  <si>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</si>
  <si>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</si>
  <si>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</si>
  <si>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</si>
  <si>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</si>
  <si>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</si>
  <si>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</si>
  <si>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</si>
  <si>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</si>
  <si>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</si>
  <si>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</si>
  <si>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</si>
  <si>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</si>
  <si>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</si>
  <si>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</si>
  <si>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10/2</t>
  </si>
  <si>
    <t>Наименование органа регулирования, принявшего решение об утверждении тарифов</t>
  </si>
  <si>
    <t>Агентство по тарифам Приморского края</t>
  </si>
  <si>
    <t>Источник официального опубликования решения</t>
  </si>
  <si>
    <t>http://pravo.gov.ru</t>
  </si>
  <si>
    <t>Открывается, если Тип отчёта "изменения в раскрытой ранее информации"</t>
  </si>
  <si>
    <t>17-1</t>
  </si>
  <si>
    <t>Наименование органа регулирования, принявшего решение об изменении тарифов</t>
  </si>
  <si>
    <t>КГУП "Примтеплоэнерго"</t>
  </si>
  <si>
    <t>Наименование (описание) обособленного подразделения</t>
  </si>
  <si>
    <t>ИНН</t>
  </si>
  <si>
    <t>2536112729</t>
  </si>
  <si>
    <t>КПП</t>
  </si>
  <si>
    <t>253801001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</si>
  <si>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</si>
  <si>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</si>
  <si>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</si>
  <si>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</si>
  <si>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</si>
  <si>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</si>
  <si>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</si>
  <si>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</si>
  <si>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</si>
  <si>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</si>
  <si>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</si>
  <si>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</si>
  <si>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</si>
  <si>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</si>
  <si>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</si>
  <si>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</si>
  <si>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</si>
  <si>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</si>
  <si>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690089 Приморский край, город Владивосток, улица Героев Варяга, 12</t>
  </si>
  <si>
    <t>Фамилия, имя, отчество руководителя</t>
  </si>
  <si>
    <t>Бабич Вячеслав Владимирович</t>
  </si>
  <si>
    <t>Ответственный за заполнение формы</t>
  </si>
  <si>
    <t>Фамилия, имя, отчество</t>
  </si>
  <si>
    <t>Долматова Елена Викторовна</t>
  </si>
  <si>
    <t>Должность</t>
  </si>
  <si>
    <t>Начальник отдела стандартов раскрытия информации</t>
  </si>
  <si>
    <t>Контактный телефон</t>
  </si>
  <si>
    <t>8 (423) 30-31-56</t>
  </si>
  <si>
    <t>E-mail</t>
  </si>
  <si>
    <t>dolmatovaev@primtep.ru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</si>
  <si>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</si>
  <si>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</si>
  <si>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</si>
  <si>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</si>
  <si>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</si>
  <si>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</si>
  <si>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</si>
  <si>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</si>
  <si>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</si>
  <si>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</si>
  <si>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</si>
  <si>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</si>
  <si>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</si>
  <si>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</si>
  <si>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</si>
  <si>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</si>
  <si>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</si>
  <si>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18</t>
  </si>
  <si>
    <t>Кировский муниципальный район</t>
  </si>
  <si>
    <t>Горноключевское городское поселение</t>
  </si>
  <si>
    <t>05612154</t>
  </si>
  <si>
    <t>Добавить МО</t>
  </si>
  <si>
    <t>2</t>
  </si>
  <si>
    <t>×</t>
  </si>
  <si>
    <t>ter_5</t>
  </si>
  <si>
    <t>79</t>
  </si>
  <si>
    <t>Хасанский муниципальный округ</t>
  </si>
  <si>
    <t>05548000</t>
  </si>
  <si>
    <t>ter_51</t>
  </si>
  <si>
    <t>35</t>
  </si>
  <si>
    <t>Красноармейский муниципальный район</t>
  </si>
  <si>
    <t>Рощинское сельское поселение</t>
  </si>
  <si>
    <t>05614431</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</si>
  <si>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</si>
  <si>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</si>
  <si>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</si>
  <si>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</si>
  <si>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</si>
  <si>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</si>
  <si>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</si>
  <si>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</si>
  <si>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</si>
  <si>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</si>
  <si>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</si>
  <si>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</si>
  <si>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</si>
  <si>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</si>
  <si>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</si>
  <si>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</si>
  <si>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</si>
  <si>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</si>
  <si>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</si>
  <si>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</si>
  <si>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</si>
  <si>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</si>
  <si>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</si>
  <si>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</si>
  <si>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</si>
  <si>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</si>
  <si>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</si>
  <si>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</si>
  <si>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</si>
  <si>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</si>
  <si>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</si>
  <si>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</si>
  <si>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</si>
  <si>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</si>
  <si>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</si>
  <si>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</si>
  <si>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</si>
  <si>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</si>
  <si>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</si>
  <si>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</si>
  <si>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</si>
  <si>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</si>
  <si>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</si>
  <si>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</si>
  <si>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</si>
  <si>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</si>
  <si>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</si>
  <si>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</si>
  <si>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</si>
  <si>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</si>
  <si>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</si>
  <si>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</si>
  <si>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</si>
  <si>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</si>
  <si>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</si>
  <si>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</si>
  <si>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</si>
  <si>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</si>
  <si>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</si>
  <si>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</si>
  <si>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</si>
  <si>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</si>
  <si>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</si>
  <si>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</si>
  <si>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</si>
  <si>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</si>
  <si>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</si>
  <si>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</si>
  <si>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</si>
  <si>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</si>
  <si>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</si>
  <si>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</si>
  <si>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</si>
  <si>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</si>
  <si>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</si>
  <si>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</si>
  <si>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</si>
  <si>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</si>
  <si>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</si>
  <si>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</si>
  <si>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</si>
  <si>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</si>
  <si>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</si>
  <si>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</si>
  <si>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</si>
  <si>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</si>
  <si>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</si>
  <si>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</si>
  <si>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</si>
  <si>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</si>
  <si>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</si>
  <si>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</si>
  <si>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</si>
  <si>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Расходы на проведение мероприятий по подключению объектов заявителей</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</si>
  <si>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</si>
  <si>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</si>
  <si>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</si>
  <si>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</si>
  <si>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</si>
  <si>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</si>
  <si>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</si>
  <si>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</si>
  <si>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pt_ter_30</t>
  </si>
  <si>
    <t>pt_cs_30</t>
  </si>
  <si>
    <t>pt_ist_te_30</t>
  </si>
  <si>
    <t>Рощинское сельское поселение с. Рощино</t>
  </si>
  <si>
    <t>pt_ter_32</t>
  </si>
  <si>
    <t>pt_cs_32</t>
  </si>
  <si>
    <t>pt_ist_te_32</t>
  </si>
  <si>
    <t>Добавить территорию для дифференциации</t>
  </si>
  <si>
    <t>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 в расчете на единицу мощности подключаемой нагрузки. Подземная бесканальная прокладка до 250 мм</t>
  </si>
  <si>
    <t>pt_ntar_30</t>
  </si>
  <si>
    <t>pt_ter_31</t>
  </si>
  <si>
    <t>pt_cs_31</t>
  </si>
  <si>
    <t>pt_ist_te_31</t>
  </si>
  <si>
    <t>pt_ter_33</t>
  </si>
  <si>
    <t>pt_cs_33</t>
  </si>
  <si>
    <t>pt_ist_te_33</t>
  </si>
  <si>
    <t>Добавить наименование тарифа</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</si>
  <si>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</si>
  <si>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</si>
  <si>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</si>
  <si>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</si>
  <si>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</si>
  <si>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</si>
  <si>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</si>
  <si>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</si>
  <si>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</si>
  <si>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</si>
  <si>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</si>
  <si>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</si>
  <si>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</si>
  <si>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</si>
  <si>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</si>
  <si>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</si>
  <si>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</si>
  <si>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</si>
  <si>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</si>
  <si>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</si>
  <si>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</si>
  <si>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</si>
  <si>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</si>
  <si>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</si>
  <si>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</si>
  <si>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</si>
  <si>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</si>
  <si>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</si>
  <si>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</si>
  <si>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</si>
  <si>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</si>
  <si>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</si>
  <si>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</si>
  <si>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</si>
  <si>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</si>
  <si>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</si>
  <si>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</si>
  <si>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</si>
  <si>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</si>
  <si>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</si>
  <si>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</si>
  <si>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</si>
  <si>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</si>
  <si>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</si>
  <si>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</si>
  <si>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</si>
  <si>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</si>
  <si>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</si>
  <si>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</si>
  <si>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</si>
  <si>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</si>
  <si>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</si>
  <si>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</si>
  <si>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</si>
  <si>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</si>
  <si>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</si>
  <si>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</si>
  <si>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</si>
  <si>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</si>
  <si>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</si>
  <si>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</si>
  <si>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</si>
  <si>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</si>
  <si>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</si>
  <si>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</si>
  <si>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</si>
  <si>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</si>
  <si>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</si>
  <si>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</si>
  <si>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</si>
  <si>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</si>
  <si>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</si>
  <si>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</si>
  <si>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</si>
  <si>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</si>
  <si>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</si>
  <si>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</si>
  <si>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</si>
  <si>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</si>
  <si>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</si>
  <si>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</si>
  <si>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</si>
  <si>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</si>
  <si>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</si>
  <si>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</si>
  <si>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</si>
  <si>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</si>
  <si>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</si>
  <si>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</si>
  <si>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</si>
  <si>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</si>
  <si>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</si>
  <si>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</si>
  <si>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</si>
  <si>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</si>
  <si>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</si>
  <si>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</si>
  <si>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</si>
  <si>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</si>
  <si>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</si>
  <si>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</si>
  <si>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</si>
  <si>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</si>
  <si>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</si>
  <si>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</si>
  <si>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</si>
  <si>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</si>
  <si>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</si>
  <si>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</si>
  <si>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</si>
  <si>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</si>
  <si>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</si>
  <si>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</si>
  <si>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</si>
  <si>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</si>
  <si>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</si>
  <si>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</si>
  <si>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</si>
  <si>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</si>
  <si>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</si>
  <si>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</si>
  <si>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</si>
  <si>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</si>
  <si>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</si>
  <si>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</si>
  <si>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</si>
  <si>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</si>
  <si>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</si>
  <si>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</si>
  <si>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</si>
  <si>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</si>
  <si>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</si>
  <si>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</si>
  <si>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</si>
  <si>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</si>
  <si>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</si>
  <si>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</si>
  <si>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</si>
  <si>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</si>
  <si>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</si>
  <si>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</si>
  <si>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</si>
  <si>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</si>
  <si>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</si>
  <si>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</si>
  <si>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</si>
  <si>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</si>
  <si>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</si>
  <si>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</si>
  <si>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</si>
  <si>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</si>
  <si>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</si>
  <si>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</si>
  <si>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</si>
  <si>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</si>
  <si>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</si>
  <si>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</si>
  <si>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</si>
  <si>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</si>
  <si>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</si>
  <si>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</si>
  <si>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</si>
  <si>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</si>
  <si>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</si>
  <si>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</si>
  <si>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</si>
  <si>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</si>
  <si>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</si>
  <si>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</si>
  <si>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</si>
  <si>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</si>
  <si>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</si>
  <si>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</si>
  <si>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</si>
  <si>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</si>
  <si>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</si>
  <si>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</si>
  <si>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</si>
  <si>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</si>
  <si>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</si>
  <si>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</si>
  <si>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</si>
  <si>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</si>
  <si>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</si>
  <si>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</si>
  <si>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</si>
  <si>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</si>
  <si>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</si>
  <si>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</si>
  <si>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</si>
  <si>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</si>
  <si>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</si>
  <si>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</si>
  <si>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</si>
  <si>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</si>
  <si>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</si>
  <si>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</si>
  <si>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</si>
  <si>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</si>
  <si>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</si>
  <si>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</si>
  <si>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</si>
  <si>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</si>
  <si>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</si>
  <si>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</si>
  <si>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</si>
  <si>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</si>
  <si>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</si>
  <si>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</si>
  <si>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</si>
  <si>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</si>
  <si>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</si>
  <si>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</si>
  <si>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</si>
  <si>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</si>
  <si>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</si>
  <si>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</si>
  <si>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</si>
  <si>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</si>
  <si>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</si>
  <si>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</si>
  <si>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</si>
  <si>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</si>
  <si>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</si>
  <si>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</si>
  <si>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</si>
  <si>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</si>
  <si>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</si>
  <si>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</si>
  <si>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</si>
  <si>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</si>
  <si>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</si>
  <si>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</si>
  <si>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</si>
  <si>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</si>
  <si>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</si>
  <si>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</si>
  <si>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</si>
  <si>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</si>
  <si>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</si>
  <si>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</si>
  <si>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</si>
  <si>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</si>
  <si>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</si>
  <si>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</si>
  <si>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</si>
  <si>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</si>
  <si>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</si>
  <si>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</si>
  <si>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</si>
  <si>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</si>
  <si>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</si>
  <si>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</si>
  <si>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</si>
  <si>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</si>
  <si>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</si>
  <si>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</si>
  <si>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</si>
  <si>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</si>
  <si>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</si>
  <si>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</si>
  <si>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</si>
  <si>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</si>
  <si>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</si>
  <si>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</si>
  <si>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</si>
  <si>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</si>
  <si>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</si>
  <si>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</si>
  <si>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</si>
  <si>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тыс.руб./Гкал/ч</t>
  </si>
  <si>
    <t>с НДС</t>
  </si>
  <si>
    <t>без НДС</t>
  </si>
  <si>
    <t>Котельная</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</si>
  <si>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</si>
  <si>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подземная (бесканальная)</t>
  </si>
  <si>
    <t>50 - 250 мм</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</si>
  <si>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</si>
  <si>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</si>
  <si>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</si>
  <si>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</si>
  <si>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</si>
  <si>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</si>
  <si>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</si>
  <si>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</si>
  <si>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</si>
  <si>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</si>
  <si>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</si>
  <si>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</si>
  <si>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</si>
  <si>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</si>
  <si>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</si>
  <si>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</si>
  <si>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</si>
  <si>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</si>
  <si>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</si>
  <si>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</si>
  <si>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</si>
  <si>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</si>
  <si>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</si>
  <si>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</si>
  <si>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</si>
  <si>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</si>
  <si>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</si>
  <si>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</si>
  <si>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</si>
  <si>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</si>
  <si>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</si>
  <si>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</si>
  <si>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</si>
  <si>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</si>
  <si>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</si>
  <si>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</si>
  <si>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</si>
  <si>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</si>
  <si>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</si>
  <si>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</si>
  <si>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</si>
  <si>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</si>
  <si>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</si>
  <si>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</si>
  <si>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</si>
  <si>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</si>
  <si>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</si>
  <si>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</si>
  <si>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</si>
  <si>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</si>
  <si>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</si>
  <si>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</si>
  <si>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</si>
  <si>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</si>
  <si>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</si>
  <si>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</si>
  <si>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</si>
  <si>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</si>
  <si>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</si>
  <si>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</si>
  <si>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</si>
  <si>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</si>
  <si>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</si>
  <si>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</si>
  <si>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</si>
  <si>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</si>
  <si>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</si>
  <si>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</si>
  <si>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</si>
  <si>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</si>
  <si>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</si>
  <si>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</si>
  <si>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</si>
  <si>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</si>
  <si>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</si>
  <si>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</si>
  <si>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</si>
  <si>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</si>
  <si>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</si>
  <si>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</si>
  <si>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</si>
  <si>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</si>
  <si>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</si>
  <si>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</si>
  <si>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</si>
  <si>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</si>
  <si>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</si>
  <si>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</si>
  <si>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</si>
  <si>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</si>
  <si>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</si>
  <si>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</si>
  <si>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</si>
  <si>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</si>
  <si>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</si>
  <si>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</si>
  <si>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</si>
  <si>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</si>
  <si>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</si>
  <si>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</si>
  <si>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</si>
  <si>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</si>
  <si>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</si>
  <si>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</si>
  <si>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</si>
  <si>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</si>
  <si>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</si>
  <si>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</si>
  <si>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</si>
  <si>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</si>
  <si>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</si>
  <si>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</si>
  <si>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</si>
  <si>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</si>
  <si>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</si>
  <si>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</si>
  <si>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</si>
  <si>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</si>
  <si>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</si>
  <si>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</si>
  <si>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</si>
  <si>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</si>
  <si>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</si>
  <si>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</si>
  <si>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</si>
  <si>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</si>
  <si>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</si>
  <si>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</si>
  <si>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</si>
  <si>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</si>
  <si>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</si>
  <si>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</si>
  <si>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</si>
  <si>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</si>
  <si>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</si>
  <si>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</si>
  <si>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</si>
  <si>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</si>
  <si>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</si>
  <si>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</si>
  <si>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</si>
  <si>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</si>
  <si>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</si>
  <si>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</si>
  <si>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</si>
  <si>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</si>
  <si>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</si>
  <si>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</si>
  <si>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</si>
  <si>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</si>
  <si>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</si>
  <si>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</si>
  <si>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</si>
  <si>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</si>
  <si>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</si>
  <si>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</si>
  <si>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</si>
  <si>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</si>
  <si>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</si>
  <si>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</si>
  <si>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</si>
  <si>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</si>
  <si>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</si>
  <si>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</si>
  <si>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</si>
  <si>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</si>
  <si>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</si>
  <si>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</si>
  <si>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</si>
  <si>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</si>
  <si>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</si>
  <si>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</si>
  <si>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</si>
  <si>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</si>
  <si>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</si>
  <si>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</si>
  <si>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</si>
  <si>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</si>
  <si>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</si>
  <si>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</si>
  <si>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</si>
  <si>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</si>
  <si>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</si>
  <si>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</si>
  <si>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</si>
  <si>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</si>
  <si>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</si>
  <si>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</si>
  <si>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</si>
  <si>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</si>
  <si>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</si>
  <si>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</si>
  <si>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</si>
  <si>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</si>
  <si>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</si>
  <si>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</si>
  <si>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</si>
  <si>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</si>
  <si>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</si>
  <si>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</si>
  <si>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</si>
  <si>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</si>
  <si>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</si>
  <si>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</si>
  <si>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</si>
  <si>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</si>
  <si>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</si>
  <si>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</si>
  <si>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</si>
  <si>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</si>
  <si>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</si>
  <si>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</si>
  <si>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</si>
  <si>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</si>
  <si>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</si>
  <si>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</si>
  <si>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</si>
  <si>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</si>
  <si>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</si>
  <si>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</si>
  <si>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</si>
  <si>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</si>
  <si>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</si>
  <si>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</si>
  <si>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</si>
  <si>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</si>
  <si>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</si>
  <si>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</si>
  <si>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</si>
  <si>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</si>
  <si>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</si>
  <si>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</si>
  <si>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</si>
  <si>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</si>
  <si>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</si>
  <si>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</si>
  <si>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</si>
  <si>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</si>
  <si>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</si>
  <si>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</si>
  <si>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</si>
  <si>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</si>
  <si>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</si>
  <si>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</si>
  <si>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</si>
  <si>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</si>
  <si>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</si>
  <si>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</si>
  <si>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</si>
  <si>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</si>
  <si>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</si>
  <si>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</si>
  <si>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</si>
  <si>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</si>
  <si>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</si>
  <si>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</si>
  <si>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</si>
  <si>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</si>
  <si>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</si>
  <si>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</si>
  <si>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</si>
  <si>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</si>
  <si>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</si>
  <si>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</si>
  <si>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</si>
  <si>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</si>
  <si>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</si>
  <si>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</si>
  <si>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</si>
  <si>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</si>
  <si>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</si>
  <si>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</si>
  <si>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</si>
  <si>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</si>
  <si>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</si>
  <si>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</si>
  <si>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</si>
  <si>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</si>
  <si>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</si>
  <si>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</si>
  <si>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</si>
  <si>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</si>
  <si>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</si>
  <si>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</si>
  <si>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</si>
  <si>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</si>
  <si>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</si>
  <si>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</si>
  <si>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</si>
  <si>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</si>
  <si>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</si>
  <si>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</si>
  <si>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</si>
  <si>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</si>
  <si>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</si>
  <si>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</si>
  <si>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</si>
  <si>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</si>
  <si>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</si>
  <si>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</si>
  <si>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</si>
  <si>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</si>
  <si>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</si>
  <si>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</si>
  <si>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</si>
  <si>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</si>
  <si>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</si>
  <si>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</si>
  <si>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</si>
  <si>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</si>
  <si>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</si>
  <si>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</si>
  <si>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</si>
  <si>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</si>
  <si>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</si>
  <si>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</si>
  <si>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</si>
  <si>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</si>
  <si>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</si>
  <si>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</si>
  <si>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</si>
  <si>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</si>
  <si>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</si>
  <si>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</si>
  <si>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</si>
  <si>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</si>
  <si>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</si>
  <si>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</si>
  <si>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</si>
  <si>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</si>
  <si>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</si>
  <si>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</si>
  <si>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</si>
  <si>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</si>
  <si>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</si>
  <si>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</si>
  <si>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</si>
  <si>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</si>
  <si>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</si>
  <si>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</si>
  <si>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</si>
  <si>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</si>
  <si>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</si>
  <si>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</si>
  <si>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</si>
  <si>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</si>
  <si>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</si>
  <si>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</si>
  <si>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</si>
  <si>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</si>
  <si>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</si>
  <si>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</si>
  <si>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</si>
  <si>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</si>
  <si>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</si>
  <si>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</si>
  <si>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</si>
  <si>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</si>
  <si>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</si>
  <si>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</si>
  <si>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</si>
  <si>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</si>
  <si>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</si>
  <si>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</si>
  <si>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</si>
  <si>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</si>
  <si>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</si>
  <si>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</si>
  <si>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</si>
  <si>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</si>
  <si>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</si>
  <si>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</si>
  <si>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</si>
  <si>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</si>
  <si>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</si>
  <si>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</si>
  <si>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</si>
  <si>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</si>
  <si>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</si>
  <si>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</si>
  <si>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</si>
  <si>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</si>
  <si>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</si>
  <si>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</si>
  <si>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</si>
  <si>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</si>
  <si>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</si>
  <si>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</si>
  <si>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</si>
  <si>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</si>
  <si>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</si>
  <si>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</si>
  <si>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</si>
  <si>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</si>
  <si>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</si>
  <si>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</si>
  <si>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</si>
  <si>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</si>
  <si>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</si>
  <si>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</si>
  <si>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</si>
  <si>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</si>
  <si>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</si>
  <si>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</si>
  <si>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</si>
  <si>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</si>
  <si>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</si>
  <si>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</si>
  <si>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</si>
  <si>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</si>
  <si>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</si>
  <si>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</si>
  <si>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</si>
  <si>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</si>
  <si>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</si>
  <si>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</si>
  <si>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</si>
  <si>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</si>
  <si>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</si>
  <si>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</si>
  <si>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</si>
  <si>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</si>
  <si>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</si>
  <si>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</si>
  <si>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</si>
  <si>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</si>
  <si>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</si>
  <si>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</si>
  <si>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</si>
  <si>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</si>
  <si>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</si>
  <si>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</si>
  <si>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</si>
  <si>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</si>
  <si>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</si>
  <si>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</si>
  <si>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</si>
  <si>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</si>
  <si>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</si>
  <si>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</si>
  <si>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</si>
  <si>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</si>
  <si>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</si>
  <si>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</si>
  <si>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</si>
  <si>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</si>
  <si>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</si>
  <si>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</si>
  <si>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</si>
  <si>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</si>
  <si>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</si>
  <si>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</si>
  <si>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</si>
  <si>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</si>
  <si>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</si>
  <si>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</si>
  <si>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</si>
  <si>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</si>
  <si>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</si>
  <si>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</si>
  <si>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</si>
  <si>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</si>
  <si>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</si>
  <si>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</si>
  <si>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</si>
  <si>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</si>
  <si>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</si>
  <si>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</si>
  <si>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</si>
  <si>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</si>
  <si>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</si>
  <si>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</si>
  <si>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</si>
  <si>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</si>
  <si>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</si>
  <si>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</si>
  <si>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</si>
  <si>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</si>
  <si>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</si>
  <si>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</si>
  <si>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</si>
  <si>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</si>
  <si>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</si>
  <si>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</si>
  <si>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</si>
  <si>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</si>
  <si>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</si>
  <si>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</si>
  <si>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</si>
  <si>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</si>
  <si>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</si>
  <si>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</si>
  <si>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</si>
  <si>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</si>
  <si>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</si>
  <si>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</si>
  <si>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</si>
  <si>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</si>
  <si>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</si>
  <si>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</si>
  <si>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</si>
  <si>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</si>
  <si>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</si>
  <si>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</si>
  <si>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</si>
  <si>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</si>
  <si>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</si>
  <si>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</si>
  <si>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</si>
  <si>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</si>
  <si>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</si>
  <si>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</si>
  <si>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</si>
  <si>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</si>
  <si>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</si>
  <si>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</si>
  <si>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</si>
  <si>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</si>
  <si>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</si>
  <si>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</si>
  <si>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</si>
  <si>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</si>
  <si>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</si>
  <si>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</si>
  <si>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</si>
  <si>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</si>
  <si>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</si>
  <si>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</si>
  <si>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</si>
  <si>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</si>
  <si>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</si>
  <si>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</si>
  <si>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</si>
  <si>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</si>
  <si>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</si>
  <si>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</si>
  <si>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</si>
  <si>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</si>
  <si>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</si>
  <si>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</si>
  <si>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</si>
  <si>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</si>
  <si>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</si>
  <si>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</si>
  <si>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</si>
  <si>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</si>
  <si>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</si>
  <si>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</si>
  <si>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</si>
  <si>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</si>
  <si>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</si>
  <si>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</si>
  <si>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</si>
  <si>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</si>
  <si>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</si>
  <si>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</si>
  <si>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</si>
  <si>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</si>
  <si>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</si>
  <si>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</si>
  <si>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</si>
  <si>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</si>
  <si>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</si>
  <si>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</si>
  <si>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</si>
  <si>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</si>
  <si>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</si>
  <si>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</si>
  <si>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</si>
  <si>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</si>
  <si>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</si>
  <si>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</si>
  <si>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</si>
  <si>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</si>
  <si>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</si>
  <si>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</si>
  <si>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</si>
  <si>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</si>
  <si>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</si>
  <si>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</si>
  <si>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</si>
  <si>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</si>
  <si>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</si>
  <si>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</si>
  <si>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</si>
  <si>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</si>
  <si>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</si>
  <si>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</si>
  <si>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</si>
  <si>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</si>
  <si>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</si>
  <si>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</si>
  <si>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</si>
  <si>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</si>
  <si>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</si>
  <si>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</si>
  <si>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</si>
  <si>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</si>
  <si>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</si>
  <si>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</si>
  <si>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</si>
  <si>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</si>
  <si>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</si>
  <si>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</si>
  <si>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</si>
  <si>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</si>
  <si>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</si>
  <si>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</si>
  <si>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</si>
  <si>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</si>
  <si>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</si>
  <si>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</si>
  <si>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</si>
  <si>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</si>
  <si>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</si>
  <si>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</si>
  <si>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</si>
  <si>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</si>
  <si>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</si>
  <si>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</si>
  <si>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</si>
  <si>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</si>
  <si>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</si>
  <si>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</si>
  <si>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</si>
  <si>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</si>
  <si>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</si>
  <si>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</si>
  <si>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</si>
  <si>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</si>
  <si>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</si>
  <si>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</si>
  <si>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</si>
  <si>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</si>
  <si>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</si>
  <si>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</si>
  <si>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</si>
  <si>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</si>
  <si>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</si>
  <si>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</si>
  <si>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</si>
  <si>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</si>
  <si>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</si>
  <si>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</si>
  <si>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</si>
  <si>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</si>
  <si>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</si>
  <si>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</si>
  <si>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</si>
  <si>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</si>
  <si>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</si>
  <si>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</si>
  <si>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</si>
  <si>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</si>
  <si>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http://primtep.ru/</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</si>
  <si>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</si>
  <si>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https://portal.eias.ru/Portal/DownloadPage.aspx?type=12&amp;guid=ff5ef654-9518-468c-ad56-892eb9b93493</t>
  </si>
  <si>
    <t>Форма заявки о подключении к централизованной системе теплоснабжения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</si>
  <si>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</si>
  <si>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 xml:space="preserve">Приказ от 13.05.2020 № 161 "Об утверждении регламента КГУП "Примтеплоэнерго" заключения и исполнения Договоров на подключение к системе теплоснабжения"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</si>
  <si>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</si>
  <si>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</si>
  <si>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8 (4232) 230 31 21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</si>
  <si>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</si>
  <si>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</si>
  <si>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 Владивосток, ул. Героев Варяга, 12</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</si>
  <si>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</si>
  <si>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09:00 до 18:00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</si>
  <si>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</si>
  <si>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</si>
  <si>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</si>
  <si>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</si>
  <si>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</si>
  <si>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</si>
  <si>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</si>
  <si>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</si>
  <si>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</si>
  <si>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</si>
  <si>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</si>
  <si>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</si>
  <si>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</si>
  <si>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</si>
  <si>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</si>
  <si>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</si>
  <si>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</si>
  <si>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</si>
  <si>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</si>
  <si>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</si>
  <si>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</si>
  <si>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</si>
  <si>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</si>
  <si>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</si>
  <si>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</si>
  <si>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</si>
  <si>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</si>
  <si>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</si>
  <si>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</si>
  <si>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</si>
  <si>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</si>
  <si>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</si>
  <si>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</si>
  <si>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</si>
  <si>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</si>
  <si>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</si>
  <si>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</si>
  <si>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</si>
  <si>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</si>
  <si>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</si>
  <si>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</si>
  <si>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</si>
  <si>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</si>
  <si>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</si>
  <si>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</si>
  <si>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</si>
  <si>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</si>
  <si>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</si>
  <si>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</si>
  <si>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</si>
  <si>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</si>
  <si>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</si>
  <si>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</si>
  <si>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</si>
  <si>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</si>
  <si>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</si>
  <si>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</si>
  <si>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</si>
  <si>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</si>
  <si>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</si>
  <si>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</si>
  <si>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</si>
  <si>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</si>
  <si>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</si>
  <si>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</si>
  <si>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</si>
  <si>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</si>
  <si>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</si>
  <si>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</si>
  <si>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</si>
  <si>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</si>
  <si>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</si>
  <si>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</si>
  <si>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</si>
  <si>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</si>
  <si>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</si>
  <si>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</si>
  <si>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</si>
  <si>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</si>
  <si>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</si>
  <si>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</si>
  <si>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</si>
  <si>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</si>
  <si>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</si>
  <si>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</si>
  <si>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</si>
  <si>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</si>
  <si>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</si>
  <si>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</si>
  <si>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</si>
  <si>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</si>
  <si>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</si>
  <si>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</si>
  <si>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</si>
  <si>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</si>
  <si>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</si>
  <si>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</si>
  <si>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</si>
  <si>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</si>
  <si>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</si>
  <si>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</si>
  <si>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</si>
  <si>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</si>
  <si>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</si>
  <si>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</si>
  <si>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</si>
  <si>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</si>
  <si>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</si>
  <si>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</si>
  <si>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</si>
  <si>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</si>
  <si>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</si>
  <si>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</si>
  <si>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</si>
  <si>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</si>
  <si>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</si>
  <si>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</si>
  <si>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</si>
  <si>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</si>
  <si>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</si>
  <si>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</si>
  <si>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</si>
  <si>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</si>
  <si>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</si>
  <si>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</si>
  <si>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</si>
  <si>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</si>
  <si>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</si>
  <si>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</si>
  <si>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</si>
  <si>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</si>
  <si>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</si>
  <si>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</si>
  <si>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</si>
  <si>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</si>
  <si>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</si>
  <si>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</si>
  <si>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</si>
  <si>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</si>
  <si>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</si>
  <si>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</si>
  <si>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</si>
  <si>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</si>
  <si>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</si>
  <si>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</si>
  <si>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</si>
  <si>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</si>
  <si>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</si>
  <si>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</si>
  <si>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</si>
  <si>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</si>
  <si>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</si>
  <si>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</si>
  <si>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</si>
  <si>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</si>
  <si>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</si>
  <si>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</si>
  <si>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</si>
  <si>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</si>
  <si>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</si>
  <si>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</si>
  <si>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</si>
  <si>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</si>
  <si>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</si>
  <si>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</si>
  <si>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</si>
  <si>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</si>
  <si>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</si>
  <si>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</si>
  <si>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</si>
  <si>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</si>
  <si>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</si>
  <si>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</si>
  <si>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</si>
  <si>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</si>
  <si>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</si>
  <si>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</si>
  <si>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</si>
  <si>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</si>
  <si>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</si>
  <si>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</si>
  <si>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</si>
  <si>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</si>
  <si>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</si>
  <si>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</si>
  <si>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</si>
  <si>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</si>
  <si>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</si>
  <si>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</si>
  <si>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</si>
  <si>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</si>
  <si>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</si>
  <si>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</si>
  <si>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</si>
  <si>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</si>
  <si>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</si>
  <si>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</si>
  <si>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</si>
  <si>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</si>
  <si>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</si>
  <si>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</si>
  <si>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</si>
  <si>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</si>
  <si>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</si>
  <si>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</si>
  <si>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</si>
  <si>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</si>
  <si>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</si>
  <si>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</si>
  <si>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</si>
  <si>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</si>
  <si>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</si>
  <si>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</si>
  <si>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</si>
  <si>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</si>
  <si>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</si>
  <si>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</si>
  <si>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</si>
  <si>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</si>
  <si>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</si>
  <si>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</si>
  <si>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</si>
  <si>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</si>
  <si>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</si>
  <si>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</si>
  <si>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</si>
  <si>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</si>
  <si>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</si>
  <si>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</si>
  <si>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</si>
  <si>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</si>
  <si>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</si>
  <si>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</si>
  <si>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</si>
  <si>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</si>
  <si>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</si>
  <si>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</si>
  <si>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</si>
  <si>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</si>
  <si>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</si>
  <si>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</si>
  <si>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</si>
  <si>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</si>
  <si>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</si>
  <si>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</si>
  <si>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</si>
  <si>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</si>
  <si>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</si>
  <si>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</si>
  <si>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</si>
  <si>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</si>
  <si>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</si>
  <si>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</si>
  <si>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</si>
  <si>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</si>
  <si>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</si>
  <si>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</si>
  <si>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</si>
  <si>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</si>
  <si>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</si>
  <si>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</si>
  <si>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</si>
  <si>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</si>
  <si>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</si>
  <si>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</si>
  <si>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</si>
  <si>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</si>
  <si>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</si>
  <si>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</si>
  <si>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</si>
  <si>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</si>
  <si>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</si>
  <si>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</si>
  <si>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</si>
  <si>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</si>
  <si>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</si>
  <si>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</si>
  <si>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</si>
  <si>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</si>
  <si>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</si>
  <si>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</si>
  <si>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</si>
  <si>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</si>
  <si>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</si>
  <si>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</si>
  <si>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</si>
  <si>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</si>
  <si>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</si>
  <si>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</si>
  <si>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</si>
  <si>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</si>
  <si>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</si>
  <si>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</si>
  <si>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</si>
  <si>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</si>
  <si>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</si>
  <si>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</si>
  <si>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</si>
  <si>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</si>
  <si>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</si>
  <si>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</si>
  <si>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</si>
  <si>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</si>
  <si>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</si>
  <si>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</si>
  <si>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</si>
  <si>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</si>
  <si>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</si>
  <si>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</si>
  <si>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</si>
  <si>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</si>
  <si>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</si>
  <si>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</si>
  <si>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</si>
  <si>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</si>
  <si>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</si>
  <si>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</si>
  <si>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</si>
  <si>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</si>
  <si>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</si>
  <si>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</si>
  <si>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</si>
  <si>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</si>
  <si>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</si>
  <si>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</si>
  <si>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</si>
  <si>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</si>
  <si>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</si>
  <si>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</si>
  <si>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</si>
  <si>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</si>
  <si>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</si>
  <si>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</si>
  <si>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</si>
  <si>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</si>
  <si>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</si>
  <si>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</si>
  <si>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</si>
  <si>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</si>
  <si>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</si>
  <si>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</si>
  <si>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</si>
  <si>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</si>
  <si>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</si>
  <si>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</si>
  <si>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</si>
  <si>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</si>
  <si>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</si>
  <si>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</si>
  <si>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</si>
  <si>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</si>
  <si>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</si>
  <si>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</si>
  <si>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</si>
  <si>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</si>
  <si>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</si>
  <si>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</si>
  <si>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</si>
  <si>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</si>
  <si>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</si>
  <si>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</si>
  <si>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</si>
  <si>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</si>
  <si>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</si>
  <si>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</si>
  <si>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</si>
  <si>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</si>
  <si>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</si>
  <si>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</si>
  <si>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</si>
  <si>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</si>
  <si>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</si>
  <si>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</si>
  <si>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</si>
  <si>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</si>
  <si>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</si>
  <si>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</si>
  <si>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</si>
  <si>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</si>
  <si>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</si>
  <si>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</si>
  <si>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</si>
  <si>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</si>
  <si>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</si>
  <si>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</si>
  <si>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</si>
  <si>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</si>
  <si>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</si>
  <si>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</si>
  <si>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</si>
  <si>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</si>
  <si>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</si>
  <si>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</si>
  <si>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</si>
  <si>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</si>
  <si>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</si>
  <si>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</si>
  <si>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</si>
  <si>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</si>
  <si>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</si>
  <si>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</si>
  <si>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</si>
  <si>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</si>
  <si>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</si>
  <si>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</si>
  <si>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</si>
  <si>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</si>
  <si>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</si>
  <si>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</si>
  <si>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</si>
  <si>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</si>
  <si>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</si>
  <si>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</si>
  <si>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</si>
  <si>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</si>
  <si>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</si>
  <si>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</si>
  <si>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</si>
  <si>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</si>
  <si>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</si>
  <si>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</si>
  <si>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</si>
  <si>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</si>
  <si>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</si>
  <si>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</si>
  <si>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</si>
  <si>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</si>
  <si>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</si>
  <si>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</si>
  <si>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</si>
  <si>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</si>
  <si>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</si>
  <si>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</si>
  <si>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</si>
  <si>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</si>
  <si>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</si>
  <si>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</si>
  <si>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</si>
  <si>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</si>
  <si>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</si>
  <si>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</si>
  <si>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</si>
  <si>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</si>
  <si>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</si>
  <si>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</si>
  <si>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</si>
  <si>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</si>
  <si>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</si>
  <si>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</si>
  <si>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</si>
  <si>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</si>
  <si>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</si>
  <si>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</si>
  <si>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</si>
  <si>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</si>
  <si>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</si>
  <si>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</si>
  <si>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</si>
  <si>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</si>
  <si>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</si>
  <si>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</si>
  <si>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</si>
  <si>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</si>
  <si>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</si>
  <si>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</si>
  <si>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</si>
  <si>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</si>
  <si>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</si>
  <si>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</si>
  <si>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</si>
  <si>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</si>
  <si>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</si>
  <si>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</si>
  <si>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</si>
  <si>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</si>
  <si>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</si>
  <si>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</si>
  <si>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</si>
  <si>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</si>
  <si>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</si>
  <si>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</si>
  <si>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</si>
  <si>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</si>
  <si>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</si>
  <si>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</si>
  <si>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</si>
  <si>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</si>
  <si>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</si>
  <si>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</si>
  <si>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</si>
  <si>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</si>
  <si>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</si>
  <si>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</si>
  <si>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</si>
  <si>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</si>
  <si>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</si>
  <si>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</si>
  <si>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</si>
  <si>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</si>
  <si>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</si>
  <si>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</si>
  <si>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</si>
  <si>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</si>
  <si>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</si>
  <si>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</si>
  <si>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</si>
  <si>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</si>
  <si>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</si>
  <si>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</si>
  <si>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</si>
  <si>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</si>
  <si>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</si>
  <si>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</si>
  <si>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</si>
  <si>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</si>
  <si>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</si>
  <si>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</si>
  <si>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</si>
  <si>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</si>
  <si>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</si>
  <si>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</si>
  <si>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</si>
  <si>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</si>
  <si>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</si>
  <si>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</si>
  <si>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</si>
  <si>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</si>
  <si>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</si>
  <si>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</si>
  <si>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</si>
  <si>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</si>
  <si>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</si>
  <si>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</si>
  <si>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</si>
  <si>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</si>
  <si>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</si>
  <si>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</si>
  <si>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</si>
  <si>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</si>
  <si>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</si>
  <si>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</si>
  <si>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</si>
  <si>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</si>
  <si>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</si>
  <si>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</si>
  <si>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</si>
  <si>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</si>
  <si>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</si>
  <si>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</si>
  <si>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</si>
  <si>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</si>
  <si>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</si>
  <si>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</si>
  <si>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</si>
  <si>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</si>
  <si>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</si>
  <si>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301</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</si>
  <si>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</si>
  <si>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</si>
  <si>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</si>
  <si>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</si>
  <si>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</si>
  <si>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</si>
  <si>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</si>
  <si>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</si>
  <si>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</si>
  <si>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</si>
  <si>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</si>
  <si>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</si>
  <si>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</si>
  <si>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</si>
  <si>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</si>
  <si>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</si>
  <si>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</si>
  <si>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</si>
  <si>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</si>
  <si>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</si>
  <si>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</si>
  <si>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</si>
  <si>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</si>
  <si>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</si>
  <si>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</si>
  <si>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</si>
  <si>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</si>
  <si>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</si>
  <si>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</si>
  <si>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</si>
  <si>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</si>
  <si>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</si>
  <si>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</si>
  <si>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</si>
  <si>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</si>
  <si>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</si>
  <si>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</si>
  <si>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</si>
  <si>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</si>
  <si>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</si>
  <si>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</si>
  <si>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</si>
  <si>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</si>
  <si>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</si>
  <si>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</si>
  <si>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</si>
  <si>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</si>
  <si>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</si>
  <si>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</si>
  <si>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</si>
  <si>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</si>
  <si>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</si>
  <si>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</si>
  <si>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</si>
  <si>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</si>
  <si>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</si>
  <si>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</si>
  <si>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</si>
  <si>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</si>
  <si>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</si>
  <si>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</si>
  <si>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</si>
  <si>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</si>
  <si>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</si>
  <si>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</si>
  <si>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</si>
  <si>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</si>
  <si>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</si>
  <si>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</si>
  <si>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</si>
  <si>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</si>
  <si>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</si>
  <si>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</si>
  <si>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</si>
  <si>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</si>
  <si>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</si>
  <si>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</si>
  <si>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</si>
  <si>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</si>
  <si>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</si>
  <si>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</si>
  <si>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</si>
  <si>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</si>
  <si>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</si>
  <si>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</si>
  <si>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</si>
  <si>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</si>
  <si>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</si>
  <si>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</si>
  <si>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</si>
  <si>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</si>
  <si>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</si>
  <si>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</si>
  <si>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</si>
  <si>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</si>
  <si>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</si>
  <si>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</si>
  <si>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</si>
  <si>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</si>
  <si>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</si>
  <si>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</si>
  <si>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</si>
  <si>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</si>
  <si>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</si>
  <si>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</si>
  <si>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</si>
  <si>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</si>
  <si>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</si>
  <si>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</si>
  <si>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</si>
  <si>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</si>
  <si>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</si>
  <si>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</si>
  <si>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</si>
  <si>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</si>
  <si>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</si>
  <si>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</si>
  <si>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</si>
  <si>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</si>
  <si>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</si>
  <si>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</si>
  <si>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</si>
  <si>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</si>
  <si>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</si>
  <si>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</si>
  <si>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</si>
  <si>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</si>
  <si>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</si>
  <si>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</si>
  <si>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</si>
  <si>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</si>
  <si>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</si>
  <si>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</si>
  <si>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</si>
  <si>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</si>
  <si>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</si>
  <si>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</si>
  <si>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</si>
  <si>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</si>
  <si>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</si>
  <si>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</si>
  <si>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</si>
  <si>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</si>
  <si>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</si>
  <si>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</si>
  <si>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</si>
  <si>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</si>
  <si>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</si>
  <si>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</si>
  <si>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</si>
  <si>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</si>
  <si>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</si>
  <si>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</si>
  <si>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</si>
  <si>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</si>
  <si>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</si>
  <si>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</si>
  <si>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</si>
  <si>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</si>
  <si>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</si>
  <si>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</si>
  <si>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</si>
  <si>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</si>
  <si>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</si>
  <si>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</si>
  <si>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</si>
  <si>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</si>
  <si>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</si>
  <si>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</si>
  <si>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</si>
  <si>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</si>
  <si>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</si>
  <si>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</si>
  <si>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</si>
  <si>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</si>
  <si>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</si>
  <si>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</si>
  <si>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</si>
  <si>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</si>
  <si>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</si>
  <si>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</si>
  <si>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</si>
  <si>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</si>
  <si>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</si>
  <si>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</si>
  <si>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</si>
  <si>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</si>
  <si>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</si>
  <si>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</si>
  <si>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</si>
  <si>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</si>
  <si>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</si>
  <si>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</si>
  <si>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Дополнили приложением №4 на территории с.Рощино</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</si>
  <si>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</si>
  <si>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</si>
  <si>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</si>
  <si>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</si>
  <si>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</si>
  <si>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</si>
  <si>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</si>
  <si>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</si>
  <si>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</si>
  <si>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</si>
  <si>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</si>
  <si>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</si>
  <si>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</si>
  <si>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</si>
  <si>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</si>
  <si>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</si>
  <si>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</si>
  <si>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</si>
  <si>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</si>
  <si>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</si>
  <si>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</si>
  <si>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</si>
  <si>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</si>
  <si>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</si>
  <si>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</si>
  <si>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</si>
  <si>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</si>
  <si>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</si>
  <si>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</si>
  <si>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</si>
  <si>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</si>
  <si>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</si>
  <si>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</si>
  <si>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</si>
  <si>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</si>
  <si>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</si>
  <si>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</si>
  <si>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</si>
  <si>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</si>
  <si>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</si>
  <si>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</si>
  <si>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</si>
  <si>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</si>
  <si>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</si>
  <si>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</si>
  <si>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</si>
  <si>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</si>
  <si>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</si>
  <si>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</si>
  <si>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</si>
  <si>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</si>
  <si>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</si>
  <si>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</si>
  <si>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</si>
  <si>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</si>
  <si>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</si>
  <si>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</si>
  <si>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</si>
  <si>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</si>
  <si>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</si>
  <si>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</si>
  <si>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</si>
  <si>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</si>
  <si>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</si>
  <si>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</si>
  <si>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</si>
  <si>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</si>
  <si>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</si>
  <si>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</si>
  <si>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</si>
  <si>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</si>
  <si>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</si>
  <si>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</si>
  <si>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</si>
  <si>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</si>
  <si>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</si>
  <si>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</si>
  <si>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</si>
  <si>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</si>
  <si>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</si>
  <si>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</si>
  <si>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</si>
  <si>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</si>
  <si>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</si>
  <si>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</si>
  <si>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</si>
  <si>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</si>
  <si>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</si>
  <si>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</si>
  <si>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</si>
  <si>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</si>
  <si>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</si>
  <si>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</si>
  <si>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</si>
  <si>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</si>
  <si>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</si>
  <si>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</si>
  <si>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</si>
  <si>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</si>
  <si>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</si>
  <si>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</si>
  <si>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</si>
  <si>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</si>
  <si>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</si>
  <si>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</si>
  <si>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</si>
  <si>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</si>
  <si>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</si>
  <si>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</si>
  <si>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</si>
  <si>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</si>
  <si>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</si>
  <si>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</si>
  <si>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</si>
  <si>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</si>
  <si>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</si>
  <si>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</si>
  <si>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</si>
  <si>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</si>
  <si>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</si>
  <si>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</si>
  <si>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</si>
  <si>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</si>
  <si>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</si>
  <si>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</si>
  <si>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</si>
  <si>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</si>
  <si>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</si>
  <si>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</si>
  <si>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</si>
  <si>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</si>
  <si>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</si>
  <si>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</si>
  <si>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</si>
  <si>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</si>
  <si>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</si>
  <si>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</si>
  <si>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</si>
  <si>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</si>
  <si>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</si>
  <si>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</si>
  <si>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</si>
  <si>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</si>
  <si>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</si>
  <si>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</si>
  <si>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</si>
  <si>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</si>
  <si>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</si>
  <si>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</si>
  <si>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</si>
  <si>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</si>
  <si>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</si>
  <si>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</si>
  <si>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</si>
  <si>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</si>
  <si>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</si>
  <si>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</si>
  <si>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</si>
  <si>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</si>
  <si>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</si>
  <si>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</si>
  <si>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</si>
  <si>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</si>
  <si>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</si>
  <si>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</si>
  <si>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</si>
  <si>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</si>
  <si>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</si>
  <si>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</si>
  <si>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</si>
  <si>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</si>
  <si>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</si>
  <si>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</si>
  <si>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</si>
  <si>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</si>
  <si>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</si>
  <si>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</si>
  <si>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</si>
  <si>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</si>
  <si>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</si>
  <si>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</si>
  <si>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</si>
  <si>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</si>
  <si>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</si>
  <si>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</si>
  <si>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</si>
  <si>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</si>
  <si>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</si>
  <si>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</si>
  <si>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</si>
  <si>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</si>
  <si>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</si>
  <si>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</si>
  <si>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</si>
  <si>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</si>
  <si>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</si>
  <si>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</si>
  <si>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</si>
  <si>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</si>
  <si>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</si>
  <si>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</si>
  <si>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</si>
  <si>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</si>
  <si>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</si>
  <si>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</si>
  <si>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</si>
  <si>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</si>
  <si>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</si>
  <si>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</si>
  <si>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</si>
  <si>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</si>
  <si>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</si>
  <si>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</si>
  <si>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</si>
  <si>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</si>
  <si>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</si>
  <si>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</si>
  <si>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</si>
  <si>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</si>
  <si>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</si>
  <si>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</si>
  <si>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</si>
  <si>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</si>
  <si>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</si>
  <si>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</si>
  <si>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</si>
  <si>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</si>
  <si>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</si>
  <si>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</si>
  <si>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</si>
  <si>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</si>
  <si>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</si>
  <si>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</si>
  <si>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</si>
  <si>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</si>
  <si>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</si>
  <si>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</si>
  <si>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</si>
  <si>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</si>
  <si>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</si>
  <si>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</si>
  <si>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</si>
  <si>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</si>
  <si>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</si>
  <si>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</si>
  <si>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</si>
  <si>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</si>
  <si>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</si>
  <si>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</si>
  <si>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</si>
  <si>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</si>
  <si>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</si>
  <si>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</si>
  <si>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</si>
  <si>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</si>
  <si>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</si>
  <si>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</si>
  <si>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</si>
  <si>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</si>
  <si>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</si>
  <si>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</si>
  <si>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</si>
  <si>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</si>
  <si>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</si>
  <si>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</si>
  <si>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</si>
  <si>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</si>
  <si>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</si>
  <si>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</si>
  <si>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</si>
  <si>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</si>
  <si>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</si>
  <si>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</si>
  <si>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</si>
  <si>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</si>
  <si>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</si>
  <si>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</si>
  <si>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</si>
  <si>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</si>
  <si>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</si>
  <si>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</si>
  <si>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</si>
  <si>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</si>
  <si>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</si>
  <si>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</si>
  <si>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</si>
  <si>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</si>
  <si>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</si>
  <si>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</si>
  <si>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</si>
  <si>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</si>
  <si>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</si>
  <si>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</si>
  <si>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</si>
  <si>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</si>
  <si>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</si>
  <si>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</si>
  <si>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</si>
  <si>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</si>
  <si>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</si>
  <si>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</si>
  <si>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</si>
  <si>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</si>
  <si>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</si>
  <si>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</si>
  <si>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</si>
  <si>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</si>
  <si>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</si>
  <si>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</si>
  <si>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</si>
  <si>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</si>
  <si>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</si>
  <si>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</si>
  <si>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</si>
  <si>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</si>
  <si>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</si>
  <si>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</si>
  <si>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</si>
  <si>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</si>
  <si>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</si>
  <si>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</si>
  <si>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</si>
  <si>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</si>
  <si>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</si>
  <si>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</si>
  <si>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</si>
  <si>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</si>
  <si>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</si>
  <si>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</si>
  <si>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</si>
  <si>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</si>
  <si>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</si>
  <si>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</si>
  <si>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</si>
  <si>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</si>
  <si>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</si>
  <si>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</si>
  <si>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</si>
  <si>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</si>
  <si>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</si>
  <si>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</si>
  <si>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</si>
  <si>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</si>
  <si>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</si>
  <si>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</si>
  <si>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</si>
  <si>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</si>
  <si>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</si>
  <si>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</si>
  <si>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</si>
  <si>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</si>
  <si>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</si>
  <si>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</si>
  <si>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</si>
  <si>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</si>
  <si>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</si>
  <si>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</si>
  <si>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</si>
  <si>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</si>
  <si>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</si>
  <si>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</si>
  <si>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</si>
  <si>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</si>
  <si>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</si>
  <si>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</si>
  <si>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</si>
  <si>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</si>
  <si>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</si>
  <si>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</si>
  <si>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</si>
  <si>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</si>
  <si>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</si>
  <si>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</si>
  <si>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</si>
  <si>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</si>
  <si>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</si>
  <si>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</si>
  <si>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</si>
  <si>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</si>
  <si>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</si>
  <si>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</si>
  <si>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</si>
  <si>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</si>
  <si>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</si>
  <si>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</si>
  <si>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</si>
  <si>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</si>
  <si>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</si>
  <si>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</si>
  <si>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</si>
  <si>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</si>
  <si>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</si>
  <si>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</si>
  <si>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</si>
  <si>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</si>
  <si>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</si>
  <si>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</si>
  <si>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</si>
  <si>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</si>
  <si>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</si>
  <si>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</si>
  <si>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</si>
  <si>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</si>
  <si>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</si>
  <si>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</si>
  <si>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</si>
  <si>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</si>
  <si>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</si>
  <si>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</si>
  <si>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</si>
  <si>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</si>
  <si>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</si>
  <si>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</si>
  <si>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</si>
  <si>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</si>
  <si>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</si>
  <si>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</si>
  <si>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</si>
  <si>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</si>
  <si>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</si>
  <si>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</si>
  <si>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</si>
  <si>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</si>
  <si>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</si>
  <si>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</si>
  <si>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</si>
  <si>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</si>
  <si>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</si>
  <si>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</si>
  <si>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</si>
  <si>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</si>
  <si>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</si>
  <si>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</si>
  <si>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</si>
  <si>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</si>
  <si>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</si>
  <si>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</si>
  <si>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</si>
  <si>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</si>
  <si>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</si>
  <si>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</si>
  <si>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</si>
  <si>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</si>
  <si>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</si>
  <si>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</si>
  <si>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</si>
  <si>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</si>
  <si>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</si>
  <si>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</si>
  <si>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</si>
  <si>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</si>
  <si>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</si>
  <si>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</si>
  <si>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</si>
  <si>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</si>
  <si>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</si>
  <si>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</si>
  <si>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</si>
  <si>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</si>
  <si>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</si>
  <si>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</si>
  <si>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</si>
  <si>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</si>
  <si>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</si>
  <si>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</si>
  <si>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</si>
  <si>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</si>
  <si>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</si>
  <si>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</si>
  <si>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</si>
  <si>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</si>
  <si>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</si>
  <si>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</si>
  <si>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</si>
  <si>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</si>
  <si>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</si>
  <si>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</si>
  <si>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</si>
  <si>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</si>
  <si>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</si>
  <si>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</si>
  <si>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</si>
  <si>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</si>
  <si>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</si>
  <si>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</si>
  <si>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</si>
  <si>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</si>
  <si>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</si>
  <si>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</si>
  <si>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</si>
  <si>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</si>
  <si>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</si>
  <si>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</si>
  <si>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</si>
  <si>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</si>
  <si>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</si>
  <si>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</si>
  <si>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</si>
  <si>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</si>
  <si>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</si>
  <si>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</si>
  <si>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</si>
  <si>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</si>
  <si>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</si>
  <si>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</si>
  <si>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</si>
  <si>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</si>
  <si>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</si>
  <si>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</si>
  <si>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</si>
  <si>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</si>
  <si>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</si>
  <si>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</si>
  <si>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</si>
  <si>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</si>
  <si>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</si>
  <si>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</si>
  <si>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</si>
  <si>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</si>
  <si>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</si>
  <si>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</si>
  <si>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</si>
  <si>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</si>
  <si>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</si>
  <si>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</si>
  <si>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</si>
  <si>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</si>
  <si>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</si>
  <si>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</si>
  <si>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</si>
  <si>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</si>
  <si>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</si>
  <si>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</si>
  <si>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</si>
  <si>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</si>
  <si>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</si>
  <si>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</si>
  <si>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</si>
  <si>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</si>
  <si>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</si>
  <si>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</si>
  <si>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</si>
  <si>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</si>
  <si>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</si>
  <si>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</si>
  <si>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</si>
  <si>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</si>
  <si>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</si>
  <si>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</si>
  <si>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</si>
  <si>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</si>
  <si>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</si>
  <si>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</si>
  <si>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</si>
  <si>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</si>
  <si>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</si>
  <si>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</si>
  <si>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</si>
  <si>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</si>
  <si>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</si>
  <si>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</si>
  <si>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</si>
  <si>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</si>
  <si>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</si>
  <si>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</si>
  <si>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</si>
  <si>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</si>
  <si>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</si>
  <si>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</si>
  <si>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</si>
  <si>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</si>
  <si>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</si>
  <si>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</si>
  <si>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</si>
  <si>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</si>
  <si>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</si>
  <si>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</si>
  <si>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</si>
  <si>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</si>
  <si>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</si>
  <si>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</si>
  <si>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</si>
  <si>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</si>
  <si>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</si>
  <si>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</si>
  <si>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</si>
  <si>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</si>
  <si>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</si>
  <si>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</si>
  <si>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</si>
  <si>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</si>
  <si>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</si>
  <si>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</si>
  <si>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</si>
  <si>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</si>
  <si>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</si>
  <si>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</si>
  <si>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</si>
  <si>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</si>
  <si>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</si>
  <si>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</si>
  <si>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</si>
  <si>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</si>
  <si>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</si>
  <si>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</si>
  <si>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</si>
  <si>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</si>
  <si>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</si>
  <si>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</si>
  <si>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</si>
  <si>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</si>
  <si>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</si>
  <si>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</si>
  <si>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</si>
  <si>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</si>
  <si>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</si>
  <si>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</si>
  <si>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</si>
  <si>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</si>
  <si>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</si>
  <si>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</si>
  <si>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</si>
  <si>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</si>
  <si>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</si>
  <si>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</si>
  <si>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</si>
  <si>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</si>
  <si>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</si>
  <si>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</si>
  <si>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</si>
  <si>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</si>
  <si>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</si>
  <si>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</si>
  <si>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</si>
  <si>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</si>
  <si>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</si>
  <si>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</si>
  <si>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</si>
  <si>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</si>
  <si>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</si>
  <si>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</si>
  <si>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</si>
  <si>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</si>
  <si>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</si>
  <si>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</si>
  <si>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</si>
  <si>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</si>
  <si>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</si>
  <si>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</si>
  <si>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</si>
  <si>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</si>
  <si>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</si>
  <si>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</si>
  <si>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</si>
  <si>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</si>
  <si>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</si>
  <si>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</si>
  <si>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</si>
  <si>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</si>
  <si>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</si>
  <si>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</si>
  <si>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</si>
  <si>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</si>
  <si>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</si>
  <si>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</si>
  <si>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</si>
  <si>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</si>
  <si>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</si>
  <si>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</si>
  <si>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</si>
  <si>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</si>
  <si>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</si>
  <si>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</si>
  <si>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</si>
  <si>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</si>
  <si>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</si>
  <si>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</si>
  <si>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</si>
  <si>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</si>
  <si>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</si>
  <si>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</si>
  <si>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</si>
  <si>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</si>
  <si>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</si>
  <si>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</si>
  <si>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</si>
  <si>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</si>
  <si>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</si>
  <si>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</si>
  <si>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</si>
  <si>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</si>
  <si>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</si>
  <si>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</si>
  <si>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</si>
  <si>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</si>
  <si>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</si>
  <si>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</si>
  <si>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</si>
  <si>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</si>
  <si>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</si>
  <si>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</si>
  <si>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</si>
  <si>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</si>
  <si>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</si>
  <si>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</si>
  <si>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</si>
  <si>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</si>
  <si>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</si>
  <si>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</si>
  <si>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</si>
  <si>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</si>
  <si>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</si>
  <si>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</si>
  <si>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</si>
  <si>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</si>
  <si>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</si>
  <si>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</si>
  <si>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</si>
  <si>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</si>
  <si>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</si>
  <si>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</si>
  <si>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</si>
  <si>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</si>
  <si>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</si>
  <si>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</si>
  <si>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</si>
  <si>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</si>
  <si>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</si>
  <si>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</si>
  <si>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</si>
  <si>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</si>
  <si>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</si>
  <si>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</si>
  <si>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</si>
  <si>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</si>
  <si>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</si>
  <si>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</si>
  <si>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</si>
  <si>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</si>
  <si>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</si>
  <si>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</si>
  <si>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</si>
  <si>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</si>
  <si>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</si>
  <si>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</si>
  <si>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</si>
  <si>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</si>
  <si>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</si>
  <si>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</si>
  <si>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</si>
  <si>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</si>
  <si>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</si>
  <si>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</si>
  <si>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</si>
  <si>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</si>
  <si>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</si>
  <si>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</si>
  <si>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</si>
  <si>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</si>
  <si>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</si>
  <si>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</si>
  <si>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</si>
  <si>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</si>
  <si>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</si>
  <si>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</si>
  <si>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</si>
  <si>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</si>
  <si>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</si>
  <si>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</si>
  <si>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</si>
  <si>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</si>
  <si>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</si>
  <si>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</si>
  <si>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</si>
  <si>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</si>
  <si>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</si>
  <si>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</si>
  <si>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</si>
  <si>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</si>
  <si>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</si>
  <si>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</si>
  <si>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</si>
  <si>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</si>
  <si>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</si>
  <si>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</si>
  <si>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</si>
  <si>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</si>
  <si>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</si>
  <si>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</si>
  <si>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</si>
  <si>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</si>
  <si>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</si>
  <si>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</si>
  <si>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</si>
  <si>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</si>
  <si>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</si>
  <si>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</si>
  <si>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</si>
  <si>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</si>
  <si>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</si>
  <si>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</si>
  <si>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</si>
  <si>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</si>
  <si>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</si>
  <si>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</si>
  <si>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</si>
  <si>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</si>
  <si>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</si>
  <si>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</si>
  <si>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</si>
  <si>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</si>
  <si>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</si>
  <si>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</si>
  <si>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</si>
  <si>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</si>
  <si>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</si>
  <si>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</si>
  <si>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</si>
  <si>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04-02-2025 00:00:00</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</si>
  <si>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</si>
  <si>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</si>
  <si>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</si>
  <si>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</si>
  <si>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</si>
  <si>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</si>
  <si>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</si>
  <si>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</si>
  <si>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</si>
  <si>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</si>
  <si>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</si>
  <si>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</si>
  <si>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</si>
  <si>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</si>
  <si>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</si>
  <si>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</si>
  <si>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</si>
  <si>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</si>
  <si>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</si>
  <si>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</si>
  <si>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</si>
  <si>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</si>
  <si>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</si>
  <si>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</si>
  <si>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МО</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</si>
  <si>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</si>
  <si>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</si>
  <si>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</si>
  <si>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</si>
  <si>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</si>
  <si>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</si>
  <si>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</si>
  <si>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</si>
  <si>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</si>
  <si>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</si>
  <si>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</si>
  <si>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</si>
  <si>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</si>
  <si>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</si>
  <si>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</si>
  <si>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</si>
  <si>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</si>
  <si>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</si>
  <si>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</si>
  <si>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</si>
  <si>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</si>
  <si>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</si>
  <si>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</si>
  <si>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</si>
  <si>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</si>
  <si>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</si>
  <si>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</si>
  <si>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</si>
  <si>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</si>
  <si>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</si>
  <si>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</si>
  <si>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</si>
  <si>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</si>
  <si>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</si>
  <si>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</si>
  <si>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</si>
  <si>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</si>
  <si>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</si>
  <si>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</si>
  <si>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</si>
  <si>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</si>
  <si>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</si>
  <si>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</si>
  <si>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</si>
  <si>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</si>
  <si>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</si>
  <si>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</si>
  <si>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</si>
  <si>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</si>
  <si>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</si>
  <si>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</si>
  <si>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</si>
  <si>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</si>
  <si>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</si>
  <si>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</si>
  <si>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</si>
  <si>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</si>
  <si>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</si>
  <si>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</si>
  <si>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</si>
  <si>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</si>
  <si>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</si>
  <si>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</si>
  <si>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</si>
  <si>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</si>
  <si>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</si>
  <si>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</si>
  <si>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</si>
  <si>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</si>
  <si>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</si>
  <si>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</si>
  <si>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</si>
  <si>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</si>
  <si>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</si>
  <si>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</si>
  <si>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</si>
  <si>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</si>
  <si>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</si>
  <si>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</si>
  <si>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</si>
  <si>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</si>
  <si>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</si>
  <si>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</si>
  <si>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</si>
  <si>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</si>
  <si>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</si>
  <si>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</si>
  <si>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</si>
  <si>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</si>
  <si>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</si>
  <si>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</si>
  <si>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</si>
  <si>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</si>
  <si>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</si>
  <si>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</si>
  <si>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</si>
  <si>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</si>
  <si>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</si>
  <si>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</si>
  <si>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</si>
  <si>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</si>
  <si>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</si>
  <si>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</si>
  <si>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</si>
  <si>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</si>
  <si>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</si>
  <si>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</si>
  <si>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</si>
  <si>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</si>
  <si>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</si>
  <si>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</si>
  <si>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</si>
  <si>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</si>
  <si>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</si>
  <si>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</si>
  <si>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</si>
  <si>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</si>
  <si>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</si>
  <si>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</si>
  <si>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</si>
  <si>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</si>
  <si>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</si>
  <si>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</si>
  <si>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</si>
  <si>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</si>
  <si>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</si>
  <si>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</si>
  <si>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</si>
  <si>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</si>
  <si>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</si>
  <si>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</si>
  <si>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</si>
  <si>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</si>
  <si>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</si>
  <si>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</si>
  <si>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</si>
  <si>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</si>
  <si>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</si>
  <si>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</si>
  <si>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</si>
  <si>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</si>
  <si>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</si>
  <si>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</si>
  <si>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</si>
  <si>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</si>
  <si>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</si>
  <si>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</si>
  <si>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</si>
  <si>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</si>
  <si>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</si>
  <si>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</si>
  <si>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</si>
  <si>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</si>
  <si>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</si>
  <si>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</si>
  <si>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</si>
  <si>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</si>
  <si>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</si>
  <si>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</si>
  <si>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</si>
  <si>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</si>
  <si>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</si>
  <si>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</si>
  <si>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</si>
  <si>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</si>
  <si>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</si>
  <si>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</si>
  <si>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</si>
  <si>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</si>
  <si>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</si>
  <si>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</si>
  <si>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</si>
  <si>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</si>
  <si>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</si>
  <si>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</si>
  <si>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</si>
  <si>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</si>
  <si>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</si>
  <si>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</si>
  <si>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</si>
  <si>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</si>
  <si>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</si>
  <si>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</si>
  <si>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</si>
  <si>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</si>
  <si>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</si>
  <si>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</si>
  <si>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</si>
  <si>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</si>
  <si>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</si>
  <si>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</si>
  <si>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</si>
  <si>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</si>
  <si>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</si>
  <si>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</si>
  <si>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</si>
  <si>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</si>
  <si>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</si>
  <si>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</si>
  <si>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</si>
  <si>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</si>
  <si>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</si>
  <si>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</si>
  <si>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</si>
  <si>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</si>
  <si>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</si>
  <si>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</si>
  <si>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</si>
  <si>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</si>
  <si>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</si>
  <si>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</si>
  <si>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</si>
  <si>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</si>
  <si>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</si>
  <si>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</si>
  <si>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</si>
  <si>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</si>
  <si>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</si>
  <si>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</si>
  <si>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</si>
  <si>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</si>
  <si>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</si>
  <si>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</si>
  <si>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</si>
  <si>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</si>
  <si>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</si>
  <si>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</si>
  <si>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</si>
  <si>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</si>
  <si>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</si>
  <si>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</si>
  <si>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</si>
  <si>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</si>
  <si>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</si>
  <si>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</si>
  <si>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</si>
  <si>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</si>
  <si>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</si>
  <si>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</si>
  <si>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</si>
  <si>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</si>
  <si>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</si>
  <si>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</si>
  <si>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</si>
  <si>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</si>
  <si>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</si>
  <si>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</si>
  <si>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</si>
  <si>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</si>
  <si>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</si>
  <si>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</si>
  <si>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</si>
  <si>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31780956</t>
  </si>
  <si>
    <t>АО "Приморский Завод"</t>
  </si>
  <si>
    <t>2508008331</t>
  </si>
  <si>
    <t>28-10-1992 00:00:00</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</si>
  <si>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</si>
  <si>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</si>
  <si>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</si>
  <si>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</si>
  <si>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</si>
  <si>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</si>
  <si>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</si>
  <si>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</si>
  <si>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</si>
  <si>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</si>
  <si>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</si>
  <si>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</si>
  <si>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</si>
  <si>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</si>
  <si>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</si>
  <si>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</si>
  <si>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</si>
  <si>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</si>
  <si>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</si>
  <si>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</si>
  <si>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</si>
  <si>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14-03-2025 00:00:00</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</si>
  <si>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</si>
  <si>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</si>
  <si>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</si>
  <si>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</si>
  <si>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</si>
  <si>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</si>
  <si>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</si>
  <si>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</si>
  <si>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</si>
  <si>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</si>
  <si>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</si>
  <si>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</si>
  <si>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</si>
  <si>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</si>
  <si>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</si>
  <si>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</si>
  <si>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</si>
  <si>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</si>
  <si>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</si>
  <si>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</si>
  <si>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</si>
  <si>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</si>
  <si>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</si>
  <si>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</si>
  <si>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</si>
  <si>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</si>
  <si>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</si>
  <si>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</si>
  <si>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</si>
  <si>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</si>
  <si>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</si>
  <si>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</si>
  <si>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</si>
  <si>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</si>
  <si>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</si>
  <si>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</si>
  <si>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</si>
  <si>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</si>
  <si>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</si>
  <si>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</si>
  <si>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</si>
  <si>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</si>
  <si>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</si>
  <si>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</si>
  <si>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</si>
  <si>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</si>
  <si>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</si>
  <si>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</si>
  <si>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</si>
  <si>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</si>
  <si>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</si>
  <si>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</si>
  <si>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</si>
  <si>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</si>
  <si>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</si>
  <si>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</si>
  <si>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</si>
  <si>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</si>
  <si>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</si>
  <si>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</si>
  <si>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</si>
  <si>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</si>
  <si>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</si>
  <si>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</si>
  <si>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</si>
  <si>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</si>
  <si>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</si>
  <si>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</si>
  <si>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</si>
  <si>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</si>
  <si>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</si>
  <si>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</si>
  <si>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</si>
  <si>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</si>
  <si>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</si>
  <si>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</si>
  <si>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</si>
  <si>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</si>
  <si>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</si>
  <si>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</si>
  <si>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</si>
  <si>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31760804</t>
  </si>
  <si>
    <t>ООО "Ресурс"</t>
  </si>
  <si>
    <t>2510013890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</si>
  <si>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</si>
  <si>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</si>
  <si>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</si>
  <si>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</si>
  <si>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</si>
  <si>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</si>
  <si>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</si>
  <si>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</si>
  <si>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</si>
  <si>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</si>
  <si>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</si>
  <si>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</si>
  <si>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</si>
  <si>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</si>
  <si>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</si>
  <si>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</si>
  <si>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</si>
  <si>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</si>
  <si>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</si>
  <si>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</si>
  <si>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</si>
  <si>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</si>
  <si>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</si>
  <si>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</si>
  <si>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</si>
  <si>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</si>
  <si>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</si>
  <si>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</si>
  <si>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</si>
  <si>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</si>
  <si>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</si>
  <si>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</si>
  <si>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</si>
  <si>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</si>
  <si>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</si>
  <si>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</si>
  <si>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</si>
  <si>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</si>
  <si>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</si>
  <si>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</si>
  <si>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</si>
  <si>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</si>
  <si>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</si>
  <si>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</si>
  <si>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</si>
  <si>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</si>
  <si>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</si>
  <si>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</si>
  <si>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</si>
  <si>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</si>
  <si>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</si>
  <si>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</si>
  <si>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</si>
  <si>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</si>
  <si>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</si>
  <si>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</si>
  <si>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</si>
  <si>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</si>
  <si>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</si>
  <si>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</si>
  <si>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</si>
  <si>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</si>
  <si>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</si>
  <si>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</si>
  <si>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</si>
  <si>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</si>
  <si>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</si>
  <si>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</si>
  <si>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</si>
  <si>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</si>
  <si>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</si>
  <si>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</si>
  <si>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</si>
  <si>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</si>
  <si>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</si>
  <si>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</si>
  <si>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</si>
  <si>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</si>
  <si>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</si>
  <si>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</si>
  <si>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</si>
  <si>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</si>
  <si>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</si>
  <si>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</si>
  <si>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Артемовский городской округ</t>
  </si>
  <si>
    <t>05705000</t>
  </si>
  <si>
    <t>Владивостокский городской округ</t>
  </si>
  <si>
    <t>05701000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</si>
  <si>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</si>
  <si>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</si>
  <si>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</si>
  <si>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</si>
  <si>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</si>
  <si>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</si>
  <si>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</si>
  <si>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</si>
  <si>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</si>
  <si>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</si>
  <si>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</si>
  <si>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</si>
  <si>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</si>
  <si>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</si>
  <si>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</si>
  <si>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</si>
  <si>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</si>
  <si>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</si>
  <si>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</si>
  <si>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</si>
  <si>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</si>
  <si>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</si>
  <si>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</si>
  <si>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</si>
  <si>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</si>
  <si>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</si>
  <si>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</si>
  <si>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05612000</t>
  </si>
  <si>
    <t>Горненское</t>
  </si>
  <si>
    <t>05612407</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</si>
  <si>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</si>
  <si>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</si>
  <si>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</si>
  <si>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</si>
  <si>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</si>
  <si>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</si>
  <si>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</si>
  <si>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</si>
  <si>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</si>
  <si>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</si>
  <si>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</si>
  <si>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</si>
  <si>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</si>
  <si>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</si>
  <si>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</si>
  <si>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</si>
  <si>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</si>
  <si>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</si>
  <si>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</si>
  <si>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</si>
  <si>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</si>
  <si>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</si>
  <si>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</si>
  <si>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</si>
  <si>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</si>
  <si>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</si>
  <si>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</si>
  <si>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</si>
  <si>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</si>
  <si>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</si>
  <si>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Таежненское</t>
  </si>
  <si>
    <t>05614437</t>
  </si>
  <si>
    <t>Лазовский муниципальный округ</t>
  </si>
  <si>
    <t>05517000</t>
  </si>
  <si>
    <t>Лесозаводский городской округ</t>
  </si>
  <si>
    <t>05711000</t>
  </si>
  <si>
    <t>Михайловский муниципальный округ</t>
  </si>
  <si>
    <t>05520000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</si>
  <si>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</si>
  <si>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</si>
  <si>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</si>
  <si>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</si>
  <si>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</si>
  <si>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</si>
  <si>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</si>
  <si>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</si>
  <si>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</si>
  <si>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</si>
  <si>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</si>
  <si>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</si>
  <si>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</si>
  <si>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</si>
  <si>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</si>
  <si>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</si>
  <si>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</si>
  <si>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</si>
  <si>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</si>
  <si>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</si>
  <si>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</si>
  <si>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</si>
  <si>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</si>
  <si>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</si>
  <si>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</si>
  <si>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</si>
  <si>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</si>
  <si>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</si>
  <si>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</si>
  <si>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</si>
  <si>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</si>
  <si>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</si>
  <si>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</si>
  <si>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</si>
  <si>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</si>
  <si>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</si>
  <si>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</si>
  <si>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</si>
  <si>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</si>
  <si>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</si>
  <si>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</si>
  <si>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</si>
  <si>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</si>
  <si>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</si>
  <si>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60</t>
  </si>
  <si>
    <t>Новицкое сельское поселение</t>
  </si>
  <si>
    <t>05630410</t>
  </si>
  <si>
    <t>61</t>
  </si>
  <si>
    <t>Новолитовское сельское поселение</t>
  </si>
  <si>
    <t>05630413</t>
  </si>
  <si>
    <t>62</t>
  </si>
  <si>
    <t>63</t>
  </si>
  <si>
    <t>Сергеевское сельское поселение</t>
  </si>
  <si>
    <t>05630419</t>
  </si>
  <si>
    <t>64</t>
  </si>
  <si>
    <t>Пограничный муниципальный округ</t>
  </si>
  <si>
    <t>05532000</t>
  </si>
  <si>
    <t>65</t>
  </si>
  <si>
    <t>Пожарский муниципальный округ</t>
  </si>
  <si>
    <t>05534000</t>
  </si>
  <si>
    <t>Спасский муниципальный район</t>
  </si>
  <si>
    <t>05637000</t>
  </si>
  <si>
    <t>Александровское сельское поселение</t>
  </si>
  <si>
    <t>05637402</t>
  </si>
  <si>
    <t>67</t>
  </si>
  <si>
    <t>Дубовское сельское поселение</t>
  </si>
  <si>
    <t>05637419</t>
  </si>
  <si>
    <t>Духовское сельское поселение</t>
  </si>
  <si>
    <t>05637422</t>
  </si>
  <si>
    <t>69</t>
  </si>
  <si>
    <t>Краснокутское сельское поселение</t>
  </si>
  <si>
    <t>05637424</t>
  </si>
  <si>
    <t>70</t>
  </si>
  <si>
    <t>Прохорское сельское поселение</t>
  </si>
  <si>
    <t>05637434</t>
  </si>
  <si>
    <t>71</t>
  </si>
  <si>
    <t>72</t>
  </si>
  <si>
    <t>Спасское сельское поселение</t>
  </si>
  <si>
    <t>05637440</t>
  </si>
  <si>
    <t>73</t>
  </si>
  <si>
    <t>Хвалынское сельское поселение</t>
  </si>
  <si>
    <t>05637443</t>
  </si>
  <si>
    <t>74</t>
  </si>
  <si>
    <t>Чкаловское сельское поселение</t>
  </si>
  <si>
    <t>05637446</t>
  </si>
  <si>
    <t>75</t>
  </si>
  <si>
    <t>Тернейский муниципальный округ</t>
  </si>
  <si>
    <t>05540000</t>
  </si>
  <si>
    <t>76</t>
  </si>
  <si>
    <t>Уссурийский городской округ</t>
  </si>
  <si>
    <t>05723000</t>
  </si>
  <si>
    <t>77</t>
  </si>
  <si>
    <t>Ханкайский муниципальный округ</t>
  </si>
  <si>
    <t>05546000</t>
  </si>
  <si>
    <t>78</t>
  </si>
  <si>
    <t>Хорольский муниципальный округ</t>
  </si>
  <si>
    <t>05550000</t>
  </si>
  <si>
    <t>80</t>
  </si>
  <si>
    <t>Черниговский муниципальный округ</t>
  </si>
  <si>
    <t>05553000</t>
  </si>
  <si>
    <t>81</t>
  </si>
  <si>
    <t>Черниговский муниципальный район</t>
  </si>
  <si>
    <t>05653000</t>
  </si>
  <si>
    <t>Дмитриевское сельское поселение</t>
  </si>
  <si>
    <t>05653410</t>
  </si>
  <si>
    <t>82</t>
  </si>
  <si>
    <t>Межселенные территории Черниговского муниципального района, находящиеся вне границ городского и сельских поселений</t>
  </si>
  <si>
    <t>05653701</t>
  </si>
  <si>
    <t>83</t>
  </si>
  <si>
    <t>Реттиховское городское поселение</t>
  </si>
  <si>
    <t>05653422</t>
  </si>
  <si>
    <t>84</t>
  </si>
  <si>
    <t>Сибирцевское городское поселение</t>
  </si>
  <si>
    <t>05653158</t>
  </si>
  <si>
    <t>85</t>
  </si>
  <si>
    <t>Снегуровское</t>
  </si>
  <si>
    <t>05653419</t>
  </si>
  <si>
    <t>86</t>
  </si>
  <si>
    <t>87</t>
  </si>
  <si>
    <t>Черниговское сельское поселение</t>
  </si>
  <si>
    <t>05653425</t>
  </si>
  <si>
    <t>88</t>
  </si>
  <si>
    <t>Чугуевский муниципальный округ</t>
  </si>
  <si>
    <t>05555000</t>
  </si>
  <si>
    <t>89</t>
  </si>
  <si>
    <t>Шкотовский муниципальный округ</t>
  </si>
  <si>
    <t>05557000</t>
  </si>
  <si>
    <t>90</t>
  </si>
  <si>
    <t>Шкотовский муниципальный район</t>
  </si>
  <si>
    <t>05657000</t>
  </si>
  <si>
    <t>Новонежинское сельское поселение</t>
  </si>
  <si>
    <t>05657413</t>
  </si>
  <si>
    <t>91</t>
  </si>
  <si>
    <t>Подъяпольское сельское поселение</t>
  </si>
  <si>
    <t>05657422</t>
  </si>
  <si>
    <t>92</t>
  </si>
  <si>
    <t>Романовское сельское поселение</t>
  </si>
  <si>
    <t>05657425</t>
  </si>
  <si>
    <t>93</t>
  </si>
  <si>
    <t>Смоляниновское городское поселение</t>
  </si>
  <si>
    <t>05657158</t>
  </si>
  <si>
    <t>94</t>
  </si>
  <si>
    <t>Центральненское сельское поселение</t>
  </si>
  <si>
    <t>05657428</t>
  </si>
  <si>
    <t>95</t>
  </si>
  <si>
    <t>96</t>
  </si>
  <si>
    <t>Шкотовское городское поселение</t>
  </si>
  <si>
    <t>05657165</t>
  </si>
  <si>
    <t>97</t>
  </si>
  <si>
    <t>Штыковское сельское поселение</t>
  </si>
  <si>
    <t>05657432</t>
  </si>
  <si>
    <t>98</t>
  </si>
  <si>
    <t>Яковлевский муниципальный округ</t>
  </si>
  <si>
    <t>05559000</t>
  </si>
  <si>
    <t>99</t>
  </si>
  <si>
    <t>Яковлевский муниципальный район</t>
  </si>
  <si>
    <t>05659000</t>
  </si>
  <si>
    <t>Варфоломеевское сельское поселение</t>
  </si>
  <si>
    <t>05659407</t>
  </si>
  <si>
    <t>100</t>
  </si>
  <si>
    <t>Новосысоевское сельское поселение</t>
  </si>
  <si>
    <t>05659413</t>
  </si>
  <si>
    <t>101</t>
  </si>
  <si>
    <t>Покровское сельское поселение</t>
  </si>
  <si>
    <t>05659416</t>
  </si>
  <si>
    <t>102</t>
  </si>
  <si>
    <t>Яблоновское</t>
  </si>
  <si>
    <t>05659419</t>
  </si>
  <si>
    <t>103</t>
  </si>
  <si>
    <t>104</t>
  </si>
  <si>
    <t>Яковлевское сельское поселение</t>
  </si>
  <si>
    <t>05659422</t>
  </si>
  <si>
    <t>105</t>
  </si>
  <si>
    <t>городской округ Большой Камень</t>
  </si>
  <si>
    <t>05706000</t>
  </si>
  <si>
    <t>106</t>
  </si>
  <si>
    <t>городской округ ЗАТО Фокино</t>
  </si>
  <si>
    <t>05747000</t>
  </si>
  <si>
    <t>107</t>
  </si>
  <si>
    <t>NUMBER_POINT</t>
  </si>
  <si>
    <t>INVP_NAME</t>
  </si>
  <si>
    <t>INVP_ID</t>
  </si>
  <si>
    <t>L_START_DATE</t>
  </si>
  <si>
    <t>L_END_DATE</t>
  </si>
  <si>
    <t>L_DECISION_NAME</t>
  </si>
  <si>
    <t>L_DECISION_TYPE</t>
  </si>
  <si>
    <t>L_DECISION_NMBR</t>
  </si>
  <si>
    <t>L_DECISION_DATE</t>
  </si>
  <si>
    <t>Инвестиционная программа № 19-115/2 от 13.05.2020 МУПВ "ВПЭС" в сфере теплоснабжения по модернизации и реконструкции объектов на 2021-2037 годы</t>
  </si>
  <si>
    <t>01.01.2021</t>
  </si>
  <si>
    <t>31.12.2037</t>
  </si>
  <si>
    <t>Инвестиционная программа № 19-115/2 от 13.05.2020 МУПВ "ВПЭС" в сфере теплоснабжения по реконструкции и модернизации централизованных систем теплоснабжения, на территории городского округа Владивостокский на 2021-2023 годы</t>
  </si>
  <si>
    <t>31.12.2023</t>
  </si>
  <si>
    <t>Инвестиционная программа № 19-139/2 от 30.06.2021 ООО "ИКС поселок Новый" в сфере теплоснабжения по модернизации и реконструкции котельных и тепловых сетей, на территории муниципального района Надеждинский на 2021-2033 годы</t>
  </si>
  <si>
    <t>01.07.2021</t>
  </si>
  <si>
    <t>07.09.2033</t>
  </si>
  <si>
    <t>Инвестиционная программа № 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 год</t>
  </si>
  <si>
    <t>01.01.2023</t>
  </si>
  <si>
    <t>Инвестиционная программа № 19-225/2 от 29.11.2022 АО "Уссурийское предприятие тепловых сетей" в сфере теплоснабжения по строительству, реконструкции и модернизации котельных и тепловых сетей, на территории городского округа Уссурийский на 2023-2027 годы</t>
  </si>
  <si>
    <t>31.12.2027</t>
  </si>
  <si>
    <t>Инвестиционная программа № 19-39/2 от 31.01.2024 АО "Кузбассэнерго" в сфере теплоснабжения по реконструкции и техническому перевооружению тепловых сетей, на территории городского поселения , на 2024-2037 годы</t>
  </si>
  <si>
    <t>31.01.2024</t>
  </si>
  <si>
    <t>Инвестиционная программа № 23@ (с изм 28.12.2023 38@) от 12.12.2019 АО "ДГК" в сфере теплоснабжения по строительству, реконструкции, модернизации и развитию тепловых сетей на 2023 год</t>
  </si>
  <si>
    <t>Инвестиционная программа № 23@ (с изм 28.12.2023 N38@) от 12.12.2019 АО "ДГК" в сфере теплоснабжения по строительству, реконструкции, модернизации и развитию тепловых сетей и системы централизованного теплоснабжения на 2023-2027 годы</t>
  </si>
  <si>
    <t>Инвестиционная программа № 23@ (с изм 28.12.2023 N38@) от 12.12.2019 в сфере теплоснабжения по строительству, реконструкции, модернизации и развитию тепловых сетей и системы централизованного теплоснабжения на 2024-2027 годы</t>
  </si>
  <si>
    <t>01.01.2024</t>
  </si>
  <si>
    <t>Инвестиционная программа № 39@ от 23.12.2024 ФИЛИАЛ АО "ДГК" в сфере теплоснабжения по строительству, реконструкции, модернизации и развитию тепловых сетей и системы централизованного теплоснабжения на 2024-2029 годы</t>
  </si>
  <si>
    <t>23.12.2024</t>
  </si>
  <si>
    <t>31.12.2029</t>
  </si>
  <si>
    <t>Инвестиционная программа № 39@ от 23.12.2024 ФИЛИАЛ АО "ДГК" в сфере теплоснабжения по строительству, реконструкции, модернизации и развитию тепловых сетей и системы централизованного теплоснабжения на 2025-2029 годы</t>
  </si>
  <si>
    <t>01.01.2025</t>
  </si>
  <si>
    <t>Инвестиционная программа № пр.19-218/2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2023-2027 годы</t>
  </si>
  <si>
    <t>Инвестиционная программа от 13.05.2020 МУПВ "ВПЭС" в сфере теплоснабжения по модернизации и реконструкции систем коммунальной инфраструктуры, на территории городского округа Владивостокский на 2021-2023 годы</t>
  </si>
  <si>
    <t>Инвестиционная программа от 18.11.2022 КГУП "Примтеплоэнерго" в сфере теплоснабжения по модернизации и развитию котельных и тепловых сетей, на территории городского округа Арсеньевский городской округ на 2023-2027 годы</t>
  </si>
  <si>
    <t>Инвестиционная программа от 18.11.2022 КГУП "Примтеплоэнерго" в сфере теплоснабжения по модернизации и развитию систем теплоснабжения, на территории городского округа Арсеньевский на 2023-2027 годы</t>
  </si>
  <si>
    <t>Инвестиционная программа от 19.12.2023 ООО "Новая Энергетика" в сфере теплоснабжения по модернизации и развитию систем теплоснабжения, на территории городского округа Большой Камень на 2023-2040 годы</t>
  </si>
  <si>
    <t>19.12.2023</t>
  </si>
  <si>
    <t>31.12.2040</t>
  </si>
  <si>
    <t>Инвестиционная программа от 24.12.2024 ООО "ИКС-ФОКИНО" в сфере теплоснабжения по модернизации систем коммунальной инфраструктуры, на территории городского округа ЗАТО Фокино на 2025-2044 годы</t>
  </si>
  <si>
    <t>31.12.2044</t>
  </si>
  <si>
    <t>Инвестиционная программа от 30.06.2021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2021-2033 годы</t>
  </si>
  <si>
    <t>30.06.2021</t>
  </si>
  <si>
    <t>31.12.2033</t>
  </si>
  <si>
    <t>TER_NAME</t>
  </si>
  <si>
    <t>Территория 1</t>
  </si>
  <si>
    <t>Территория 2</t>
  </si>
  <si>
    <t>Территория 3</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</si>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</sst>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9">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
      <u/>
      <sz val="9"/>
      <color rgb="FF000000"/>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3000">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0" borderId="12" xfId="0" applyFont="1" applyBorder="1" applyNumberFormat="1">
      <alignment horizontal="left" vertical="center" wrapText="1"/>
    </xf>
    <xf numFmtId="190" fontId="0" fillId="0" borderId="12" xfId="0" applyFont="1" applyBorder="1" applyNumberFormat="1">
      <alignment horizontal="left" vertical="center" wrapText="1" indent="1"/>
    </xf>
    <xf numFmtId="4" fontId="22" fillId="37" borderId="15" xfId="0" applyFont="1" applyFill="1" applyBorder="1" applyNumberFormat="1">
      <alignment horizontal="right" vertical="center" wrapText="1"/>
    </xf>
    <xf numFmtId="188"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188"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88"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88"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22" fillId="40" borderId="12" xfId="0" applyFont="1" applyFill="1" applyBorder="1" applyNumberFormat="1">
      <alignment horizontal="left" vertical="center" wrapText="1" indent="1"/>
      <protection locked="0"/>
    </xf>
    <xf numFmtId="4" fontId="22" fillId="37" borderId="15" xfId="0" applyFont="1" applyFill="1" applyBorder="1" applyNumberFormat="1">
      <alignment horizontal="right" vertical="center" wrapText="1"/>
    </xf>
    <xf numFmtId="188"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188"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88"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88"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128" fillId="39" borderId="12" xfId="0" applyFont="1" applyFill="1" applyBorder="1">
      <alignment horizontal="left" vertical="center" wrapText="1"/>
      <protection locked="0"/>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0" fontId="29" fillId="0" borderId="0" xfId="0" applyFont="1"/>
    <xf numFmtId="19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0" fillId="35" borderId="12" xfId="0" applyFont="1" applyFill="1" applyBorder="1" applyNumberFormat="1">
      <alignment horizontal="left" vertical="center" wrapText="1"/>
    </xf>
    <xf numFmtId="4" fontId="22" fillId="37" borderId="15" xfId="0" applyFont="1" applyFill="1" applyBorder="1" applyNumberFormat="1">
      <alignment horizontal="right" vertical="center" wrapText="1"/>
    </xf>
    <xf numFmtId="188"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188"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88"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88"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188"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188"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88"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88"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primtep.ru/" TargetMode="External"/><Relationship Id="rId3" Type="http://schemas.openxmlformats.org/officeDocument/2006/relationships/hyperlink" Target="https://portal.eias.ru/Portal/DownloadPage.aspx?type=12&amp;guid=d31bd307-a6ef-4383-94a6-994408bd7365" TargetMode="External"/><Relationship Id="rId4" Type="http://schemas.openxmlformats.org/officeDocument/2006/relationships/hyperlink" Target="https://portal.eias.ru/Portal/DownloadPage.aspx?type=12&amp;guid=ff5ef654-9518-468c-ad56-892eb9b93493" TargetMode="External"/><Relationship Id="rId5" Type="http://schemas.openxmlformats.org/officeDocument/2006/relationships/hyperlink" Target="https://portal.eias.ru/Portal/DownloadPage.aspx?type=12&amp;guid=ff5ef654-9518-468c-ad56-892eb9b93493"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1F4ADE-2548-50A8-4D48-C979556990F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B72EC68-E528-6A58-662E-4E9BED1B2128}" mc:Ignorable="x14ac xr xr2 xr3">
  <sheetPr>
    <tabColor rgb="FFCCCCFF"/>
  </sheetPr>
  <dimension ref="A1:Q79"/>
  <sheetViews>
    <sheetView topLeftCell="C1" showGridLines="0" zoomScale="90" workbookViewId="0">
      <selection activeCell="I27" sqref="I27"/>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PP110.OPEN.INFO.PRICE.HEAT.EIAS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Показатели, подлежащие раскрытию в сфере теплоснабжения (цены и тарифы)</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c r="A11" s="2099" t="s">
        <v>20</v>
      </c>
      <c r="D11" s="76"/>
      <c r="E11" s="1166" t="s">
        <v>21</v>
      </c>
      <c r="F11" s="1733">
        <v>45728.72219907407</v>
      </c>
      <c r="G11" s="78"/>
      <c r="H11" s="774" t="s">
        <v>22</v>
      </c>
      <c r="J11" s="877" t="s">
        <v>23</v>
      </c>
      <c r="Q11" s="75">
        <v>0</v>
      </c>
    </row>
    <row customHeight="1" ht="22.5">
      <c r="A12" s="2099"/>
      <c r="D12" s="76"/>
      <c r="E12" s="1166" t="s">
        <v>24</v>
      </c>
      <c r="F12" s="1733">
        <v>46022.722280092596</v>
      </c>
      <c r="G12" s="74"/>
      <c r="J12" s="877" t="s">
        <v>25</v>
      </c>
      <c r="Q12" s="75">
        <v>0</v>
      </c>
    </row>
    <row s="1636" customFormat="1" customHeight="1" ht="22.5" hidden="1">
      <c r="A13" s="789" t="s">
        <v>26</v>
      </c>
      <c r="B13" s="99"/>
      <c r="C13" s="409"/>
      <c r="D13" s="411"/>
      <c r="E13" s="1776" t="s">
        <v>27</v>
      </c>
      <c r="F13" s="1733" t="s">
        <v>28</v>
      </c>
      <c r="G13" s="78"/>
      <c r="H13" s="771"/>
      <c r="I13" s="412"/>
      <c r="J13" s="1777" t="s">
        <v>29</v>
      </c>
      <c r="Q13" s="410">
        <v>0</v>
      </c>
    </row>
    <row s="1636" customFormat="1" customHeight="1" ht="27" hidden="1">
      <c r="A14" s="789" t="s">
        <v>30</v>
      </c>
      <c r="B14" s="99"/>
      <c r="C14" s="409"/>
      <c r="D14" s="411"/>
      <c r="E14" s="1166" t="s">
        <v>31</v>
      </c>
      <c r="F14" s="1768"/>
      <c r="G14" s="78"/>
      <c r="H14" s="771"/>
      <c r="I14" s="412"/>
      <c r="J14" s="877" t="s">
        <v>32</v>
      </c>
      <c r="Q14" s="410">
        <v>0</v>
      </c>
    </row>
    <row s="1636" customFormat="1" customHeight="1" ht="19.5" hidden="1">
      <c r="A15" s="789" t="s">
        <v>33</v>
      </c>
      <c r="B15" s="99"/>
      <c r="C15" s="409"/>
      <c r="D15" s="411"/>
      <c r="E15" s="1166" t="s">
        <v>34</v>
      </c>
      <c r="F15" s="1768"/>
      <c r="G15" s="78"/>
      <c r="H15" s="771"/>
      <c r="I15" s="412"/>
      <c r="J15" s="877" t="s">
        <v>35</v>
      </c>
      <c r="Q15" s="410">
        <v>0</v>
      </c>
    </row>
    <row s="1613" customFormat="1" customHeight="1" ht="6.3">
      <c r="A16" s="786"/>
      <c r="B16" s="233"/>
      <c r="C16" s="234"/>
      <c r="D16" s="240"/>
      <c r="E16" s="238"/>
      <c r="F16" s="241"/>
      <c r="G16" s="78"/>
      <c r="H16" s="410"/>
      <c r="I16" s="412"/>
      <c r="J16" s="875"/>
      <c r="Q16" s="237">
        <v>6</v>
      </c>
    </row>
    <row customHeight="1" ht="21">
      <c r="D17" s="76"/>
      <c r="E17" s="392" t="s">
        <v>36</v>
      </c>
      <c r="F17" s="2577" t="s">
        <v>37</v>
      </c>
      <c r="G17" s="74"/>
      <c r="H17" s="774" t="s">
        <v>22</v>
      </c>
      <c r="Q17" s="75">
        <v>20</v>
      </c>
    </row>
    <row customHeight="1" ht="25.5">
      <c r="D18" s="76"/>
      <c r="E18" s="1776" t="s">
        <v>38</v>
      </c>
      <c r="F18" s="2850">
        <v>45777</v>
      </c>
      <c r="G18" s="74"/>
      <c r="I18" s="775"/>
      <c r="J18" s="2098" t="s">
        <v>39</v>
      </c>
      <c r="Q18" s="75">
        <v>0</v>
      </c>
    </row>
    <row customHeight="1" ht="25.5">
      <c r="D19" s="76"/>
      <c r="E19" s="1166"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850">
        <v>45783.436215277776</v>
      </c>
      <c r="G19" s="74"/>
      <c r="I19" s="775"/>
      <c r="J19" s="2098"/>
      <c r="Q19" s="75">
        <v>0</v>
      </c>
    </row>
    <row customHeight="1" ht="22.5">
      <c r="D20" s="76"/>
      <c r="E20" s="77"/>
      <c r="F20" s="271" t="str">
        <f>"Первичное "&amp;IF(TEMPLATE_GROUP="P","установление тарифов","предложение по тарифам")</f>
        <v>Первичное установление тарифов</v>
      </c>
      <c r="G20" s="74"/>
      <c r="I20" s="395"/>
      <c r="J20" s="876" t="s">
        <v>40</v>
      </c>
      <c r="Q20" s="75">
        <v>0</v>
      </c>
    </row>
    <row customHeight="1" ht="19.5">
      <c r="D21" s="76"/>
      <c r="E21" s="392" t="str">
        <f>"Дата "&amp;IF(TEMPLATE_GROUP="P","документа","подачи заявления")&amp;" об утверждении тарифов"</f>
        <v>Дата документа об утверждении тарифов</v>
      </c>
      <c r="F21" s="1733">
        <v>45728.46672453704</v>
      </c>
      <c r="G21" s="74"/>
      <c r="I21" s="776"/>
      <c r="Q21" s="75">
        <v>0</v>
      </c>
    </row>
    <row customHeight="1" ht="19.5">
      <c r="D22" s="76"/>
      <c r="E22" s="392" t="str">
        <f>"Номер "&amp;IF(TEMPLATE_GROUP="P","документа","подачи заявления")&amp;" об утверждении тарифов"</f>
        <v>Номер документа об утверждении тарифов</v>
      </c>
      <c r="F22" s="217" t="s">
        <v>41</v>
      </c>
      <c r="G22" s="74"/>
      <c r="I22" s="776"/>
      <c r="Q22" s="75">
        <v>0</v>
      </c>
    </row>
    <row customHeight="1" ht="22.5">
      <c r="D23" s="76"/>
      <c r="E23" s="392" t="s">
        <v>42</v>
      </c>
      <c r="F23" s="217" t="s">
        <v>43</v>
      </c>
      <c r="G23" s="74"/>
      <c r="Q23" s="75">
        <v>0</v>
      </c>
    </row>
    <row customHeight="1" ht="19.5">
      <c r="D24" s="76"/>
      <c r="E24" s="392" t="s">
        <v>44</v>
      </c>
      <c r="F24" s="217" t="s">
        <v>45</v>
      </c>
      <c r="G24" s="74"/>
      <c r="Q24" s="75">
        <v>0</v>
      </c>
    </row>
    <row customHeight="1" ht="22.5">
      <c r="D25" s="76"/>
      <c r="E25" s="77"/>
      <c r="F25" s="271" t="str">
        <f>"Изменение "&amp;IF(TEMPLATE_GROUP="P","тарифов","предложения по тарифам")</f>
        <v>Изменение тарифов</v>
      </c>
      <c r="G25" s="74"/>
      <c r="J25" s="876" t="s">
        <v>46</v>
      </c>
      <c r="Q25" s="75">
        <v>0</v>
      </c>
    </row>
    <row customHeight="1" ht="19.5">
      <c r="D26" s="76"/>
      <c r="E26" s="392" t="str">
        <f>"Дата "&amp;IF(TEMPLATE_GROUP="P","принятия решения","подачи заявления")&amp;" об изменении тарифов"</f>
        <v>Дата принятия решения об изменении тарифов</v>
      </c>
      <c r="F26" s="2850">
        <v>45777.43633101852</v>
      </c>
      <c r="G26" s="74"/>
      <c r="Q26" s="75">
        <v>0</v>
      </c>
    </row>
    <row customHeight="1" ht="19.5">
      <c r="D27" s="76"/>
      <c r="E27" s="1166" t="str">
        <f>"Номер "&amp;IF(TEMPLATE_GROUP="P","принятия решения","заявления")&amp;" об изменении тарифов"</f>
        <v>Номер принятия решения об изменении тарифов</v>
      </c>
      <c r="F27" s="2851" t="s">
        <v>47</v>
      </c>
      <c r="G27" s="74"/>
      <c r="Q27" s="75">
        <v>0</v>
      </c>
    </row>
    <row customHeight="1" ht="24.75">
      <c r="D28" s="76"/>
      <c r="E28" s="392" t="s">
        <v>48</v>
      </c>
      <c r="F28" s="2851" t="s">
        <v>43</v>
      </c>
      <c r="G28" s="74"/>
      <c r="Q28" s="75">
        <v>0</v>
      </c>
    </row>
    <row customHeight="1" ht="19.5">
      <c r="D29" s="76"/>
      <c r="E29" s="392" t="s">
        <v>44</v>
      </c>
      <c r="F29" s="2851" t="s">
        <v>45</v>
      </c>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49</v>
      </c>
      <c r="G31" s="777"/>
      <c r="Q31" s="75">
        <v>20</v>
      </c>
    </row>
    <row customHeight="1" ht="21" hidden="1">
      <c r="C32" s="79"/>
      <c r="D32" s="80"/>
      <c r="E32" s="393" t="s">
        <v>50</v>
      </c>
      <c r="F32" s="218"/>
      <c r="G32" s="777"/>
      <c r="Q32" s="75">
        <v>20</v>
      </c>
    </row>
    <row customHeight="1" ht="21">
      <c r="C33" s="79"/>
      <c r="D33" s="80"/>
      <c r="E33" s="392" t="s">
        <v>51</v>
      </c>
      <c r="F33" s="218" t="s">
        <v>52</v>
      </c>
      <c r="G33" s="777"/>
      <c r="Q33" s="75">
        <v>20</v>
      </c>
    </row>
    <row customHeight="1" ht="21">
      <c r="C34" s="79"/>
      <c r="D34" s="80"/>
      <c r="E34" s="392" t="s">
        <v>53</v>
      </c>
      <c r="F34" s="218" t="s">
        <v>54</v>
      </c>
      <c r="G34" s="777"/>
      <c r="H34" s="81"/>
      <c r="Q34" s="75">
        <v>20</v>
      </c>
    </row>
    <row s="1613" customFormat="1" customHeight="1" ht="11.549999999999999">
      <c r="A35" s="786"/>
      <c r="B35" s="233"/>
      <c r="C35" s="234"/>
      <c r="D35" s="240"/>
      <c r="E35" s="238"/>
      <c r="F35" s="241"/>
      <c r="G35" s="78"/>
      <c r="H35" s="410"/>
      <c r="I35" s="412"/>
      <c r="J35" s="875"/>
      <c r="Q35" s="237">
        <v>11</v>
      </c>
    </row>
    <row customHeight="1" ht="19.5">
      <c r="A36" s="880"/>
      <c r="D36" s="80"/>
      <c r="E36" s="392" t="s">
        <v>55</v>
      </c>
      <c r="F36" s="1211" t="s">
        <v>56</v>
      </c>
      <c r="G36" s="78"/>
      <c r="Q36" s="75">
        <v>0</v>
      </c>
    </row>
    <row customHeight="1" ht="21">
      <c r="A37" s="880"/>
      <c r="D37" s="80"/>
      <c r="E37" s="392" t="s">
        <v>57</v>
      </c>
      <c r="F37" s="1211" t="s">
        <v>58</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59</v>
      </c>
      <c r="F39" s="711" t="s">
        <v>19</v>
      </c>
      <c r="G39" s="74"/>
      <c r="H39" s="774" t="s">
        <v>22</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26</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1" t="s">
        <v>19</v>
      </c>
      <c r="G41" s="74"/>
      <c r="I41" s="412"/>
      <c r="J41" s="877"/>
      <c r="Q41" s="410">
        <v>0</v>
      </c>
    </row>
    <row s="1613" customFormat="1" customHeight="1" ht="6">
      <c r="A42" s="785"/>
      <c r="B42" s="427"/>
      <c r="C42" s="428"/>
      <c r="D42" s="429"/>
      <c r="E42" s="430"/>
      <c r="F42" s="1054"/>
      <c r="G42" s="74"/>
      <c r="H42" s="410"/>
      <c r="I42" s="412"/>
      <c r="J42" s="875"/>
      <c r="Q42" s="431">
        <v>0</v>
      </c>
    </row>
    <row s="1636" customFormat="1" customHeight="1" ht="27" hidden="1">
      <c r="A43" s="785"/>
      <c r="B43" s="414"/>
      <c r="C43" s="409"/>
      <c r="D43" s="411"/>
      <c r="E43" s="392" t="s">
        <v>60</v>
      </c>
      <c r="F43" s="711" t="s">
        <v>19</v>
      </c>
      <c r="G43" s="74"/>
      <c r="I43" s="412"/>
      <c r="J43" s="877"/>
      <c r="Q43" s="410">
        <v>0</v>
      </c>
    </row>
    <row s="1636" customFormat="1" customHeight="1" ht="27" hidden="1">
      <c r="A44" s="785"/>
      <c r="B44" s="414"/>
      <c r="C44" s="409"/>
      <c r="D44" s="411"/>
      <c r="E44" s="1166" t="s">
        <v>61</v>
      </c>
      <c r="F44" s="1889"/>
      <c r="G44" s="74"/>
      <c r="I44" s="412"/>
      <c r="J44" s="877"/>
      <c r="Q44" s="410">
        <v>0</v>
      </c>
    </row>
    <row s="1613" customFormat="1" customHeight="1" ht="6">
      <c r="A45" s="785"/>
      <c r="B45" s="427"/>
      <c r="C45" s="428"/>
      <c r="D45" s="429"/>
      <c r="E45" s="430"/>
      <c r="F45" s="1054"/>
      <c r="G45" s="74"/>
      <c r="H45" s="410"/>
      <c r="I45" s="412"/>
      <c r="J45" s="877"/>
      <c r="Q45" s="431">
        <v>0</v>
      </c>
    </row>
    <row s="1613" customFormat="1" customHeight="1" ht="24.75">
      <c r="A46" s="785"/>
      <c r="B46" s="427"/>
      <c r="C46" s="428"/>
      <c r="D46" s="429"/>
      <c r="E46" s="1166" t="s">
        <v>62</v>
      </c>
      <c r="F46" s="711" t="s">
        <v>19</v>
      </c>
      <c r="G46" s="74"/>
      <c r="H46" s="410"/>
      <c r="I46" s="412"/>
      <c r="J46" s="877"/>
      <c r="Q46" s="431">
        <v>0</v>
      </c>
    </row>
    <row s="1636" customFormat="1" customHeight="1" ht="24.75">
      <c r="A47" s="785"/>
      <c r="B47" s="414"/>
      <c r="C47" s="409"/>
      <c r="D47" s="411"/>
      <c r="E47" s="1166" t="s">
        <v>63</v>
      </c>
      <c r="F47" s="711" t="s">
        <v>19</v>
      </c>
      <c r="G47" s="74"/>
      <c r="I47" s="412"/>
      <c r="J47" s="877"/>
      <c r="Q47" s="410">
        <v>0</v>
      </c>
    </row>
    <row s="1613" customFormat="1" customHeight="1" ht="6">
      <c r="A48" s="785"/>
      <c r="B48" s="233"/>
      <c r="C48" s="234"/>
      <c r="D48" s="235"/>
      <c r="E48" s="236"/>
      <c r="F48" s="1054"/>
      <c r="G48" s="74"/>
      <c r="H48" s="410"/>
      <c r="I48" s="412"/>
      <c r="J48" s="877"/>
      <c r="Q48" s="237">
        <v>0</v>
      </c>
    </row>
    <row customHeight="1" ht="29.25">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1" t="s">
        <v>64</v>
      </c>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65</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66</v>
      </c>
      <c r="F53" s="1049" t="s">
        <v>19</v>
      </c>
      <c r="G53" s="533"/>
      <c r="I53" s="535"/>
      <c r="J53" s="879"/>
      <c r="P53" s="536"/>
      <c r="Q53" s="534">
        <v>0</v>
      </c>
    </row>
    <row s="1636" customFormat="1" customHeight="1" ht="27" hidden="1">
      <c r="A54" s="787"/>
      <c r="B54" s="414"/>
      <c r="C54" s="531"/>
      <c r="D54" s="532"/>
      <c r="E54" s="392" t="s">
        <v>67</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68</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69</v>
      </c>
      <c r="F58" s="1049" t="s">
        <v>64</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0"/>
      <c r="G59" s="533"/>
      <c r="I59" s="535"/>
      <c r="J59" s="879"/>
      <c r="P59" s="536"/>
      <c r="Q59" s="534">
        <v>0</v>
      </c>
    </row>
    <row s="1636" customFormat="1" customHeight="1" ht="15" hidden="1">
      <c r="A60" s="787"/>
      <c r="B60" s="414"/>
      <c r="C60" s="531"/>
      <c r="D60" s="532"/>
      <c r="E60" s="1166" t="s">
        <v>70</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71</v>
      </c>
      <c r="F62" s="1672" t="s">
        <v>64</v>
      </c>
      <c r="G62" s="74"/>
      <c r="H62" s="774" t="s">
        <v>22</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72</v>
      </c>
      <c r="F64" s="217" t="s">
        <v>73</v>
      </c>
      <c r="G64" s="78"/>
      <c r="Q64" s="75">
        <v>20</v>
      </c>
    </row>
    <row customHeight="1" ht="21">
      <c r="A65" s="788"/>
      <c r="B65" s="100"/>
      <c r="D65" s="83"/>
      <c r="E65" s="392" t="s">
        <v>74</v>
      </c>
      <c r="F65" s="217" t="s">
        <v>75</v>
      </c>
      <c r="G65" s="78"/>
      <c r="Q65" s="75">
        <v>20</v>
      </c>
    </row>
    <row customHeight="1" ht="36.75">
      <c r="D66" s="76"/>
      <c r="E66" s="394" t="s">
        <v>76</v>
      </c>
      <c r="F66" s="1055"/>
      <c r="G66" s="74"/>
      <c r="Q66" s="75">
        <v>35</v>
      </c>
    </row>
    <row customHeight="1" ht="21">
      <c r="A67" s="788"/>
      <c r="D67" s="411"/>
      <c r="E67" s="392" t="s">
        <v>77</v>
      </c>
      <c r="F67" s="272" t="s">
        <v>78</v>
      </c>
      <c r="G67" s="78"/>
      <c r="Q67" s="75">
        <v>20</v>
      </c>
    </row>
    <row customHeight="1" ht="21">
      <c r="A68" s="788"/>
      <c r="B68" s="100"/>
      <c r="D68" s="83"/>
      <c r="E68" s="392" t="s">
        <v>79</v>
      </c>
      <c r="F68" s="272" t="s">
        <v>80</v>
      </c>
      <c r="G68" s="78"/>
      <c r="Q68" s="75">
        <v>20</v>
      </c>
    </row>
    <row customHeight="1" ht="21">
      <c r="A69" s="788"/>
      <c r="B69" s="100"/>
      <c r="D69" s="83"/>
      <c r="E69" s="392" t="s">
        <v>81</v>
      </c>
      <c r="F69" s="272" t="s">
        <v>82</v>
      </c>
      <c r="G69" s="78"/>
      <c r="Q69" s="75">
        <v>20</v>
      </c>
    </row>
    <row customHeight="1" ht="21">
      <c r="D70" s="411"/>
      <c r="E70" s="392" t="s">
        <v>83</v>
      </c>
      <c r="F70" s="272" t="s">
        <v>84</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85</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2B5FE44D-8AC8-95C1-AE48-E4E893220118}"/>
    <hyperlink ref="H17" location="Титульный!H9" display="Как заполнить?" tooltip="Помощь по работе с полями отчётной формы" xr:uid="{172B7998-1EC8-97B4-4746-5C5DCF7C7228}"/>
    <hyperlink ref="H39" location="Титульный!H9" display="Как заполнить?" tooltip="Помощь по работе с полями отчётной формы" xr:uid="{1F6230C8-683E-4158-5CD9-34EB71804918}"/>
    <hyperlink ref="H62" location="Титульный!H9" display="Как заполнить?" tooltip="Помощь по работе с полями отчётной формы" xr:uid="{7112E4BA-DF18-09E8-0558-FFF5DEB0239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362202-D39E-2E74-63B8-EEB9F0CF7E0D}" mc:Ignorable="x14ac xr xr2 xr3">
  <sheetPr>
    <tabColor rgb="FFCCCCFF"/>
    <pageSetUpPr fitToPage="1"/>
  </sheetPr>
  <dimension ref="A1:AC35"/>
  <sheetViews>
    <sheetView showGridLines="0" zoomScale="90" workbookViewId="0">
      <pane xSplit="6" ySplit="11" topLeftCell="G12" activePane="bottomRight" state="frozen"/>
      <selection pane="bottomLeft" activeCell="A12" sqref="A12"/>
      <selection pane="topRight" activeCell="G1" sqref="G1"/>
      <selection pane="bottomRight" activeCell="H19" sqref="H19"/>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86</v>
      </c>
      <c r="H1" s="495" t="s">
        <v>87</v>
      </c>
      <c r="I1" s="228" t="s">
        <v>88</v>
      </c>
      <c r="J1" s="248" t="s">
        <v>86</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89</v>
      </c>
      <c r="F8" s="2103"/>
      <c r="G8" s="2104"/>
      <c r="H8" s="2105" t="s">
        <v>90</v>
      </c>
      <c r="I8" s="2105"/>
      <c r="J8" s="156"/>
      <c r="K8" s="156"/>
      <c r="L8" s="156"/>
      <c r="M8" s="156"/>
      <c r="N8" s="227"/>
      <c r="O8" s="156"/>
      <c r="P8" s="226"/>
      <c r="Q8" s="226"/>
      <c r="R8" s="226"/>
      <c r="S8" s="226"/>
      <c r="AC8" s="117">
        <v>14</v>
      </c>
    </row>
    <row s="1820" customFormat="1" customHeight="1" ht="21">
      <c r="A9" s="759"/>
      <c r="B9" s="418"/>
      <c r="C9" s="759"/>
      <c r="D9" s="165"/>
      <c r="E9" s="778" t="s">
        <v>91</v>
      </c>
      <c r="F9" s="778"/>
      <c r="G9" s="173" t="s">
        <v>92</v>
      </c>
      <c r="H9" s="173" t="s">
        <v>92</v>
      </c>
      <c r="I9" s="173" t="s">
        <v>88</v>
      </c>
      <c r="J9" s="156"/>
      <c r="K9" s="156"/>
      <c r="L9" s="156"/>
      <c r="M9" s="156"/>
      <c r="N9" s="227"/>
      <c r="O9" s="156"/>
      <c r="P9" s="226"/>
      <c r="Q9" s="226"/>
      <c r="R9" s="226"/>
      <c r="S9" s="226"/>
      <c r="AC9" s="117">
        <v>20</v>
      </c>
    </row>
    <row customHeight="1" ht="11.549999999999999">
      <c r="D10" s="177"/>
      <c r="E10" s="779" t="s">
        <v>93</v>
      </c>
      <c r="F10" s="779"/>
      <c r="G10" s="224" t="s">
        <v>94</v>
      </c>
      <c r="H10" s="224" t="s">
        <v>95</v>
      </c>
      <c r="I10" s="224" t="s">
        <v>96</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97</v>
      </c>
      <c r="K11" s="156"/>
      <c r="L11" s="156"/>
      <c r="M11" s="156" t="s">
        <v>98</v>
      </c>
      <c r="N11" s="227" t="s">
        <v>99</v>
      </c>
      <c r="O11" s="156" t="s">
        <v>100</v>
      </c>
      <c r="P11" s="226"/>
      <c r="Q11" s="226"/>
      <c r="R11" s="226"/>
      <c r="S11" s="226"/>
      <c r="AC11" s="117">
        <v>1</v>
      </c>
    </row>
    <row s="1820" customFormat="1" customHeight="1" ht="15">
      <c r="A12" s="2100">
        <v>1</v>
      </c>
      <c r="B12" s="418"/>
      <c r="C12" s="759"/>
      <c r="D12" s="783"/>
      <c r="E12" s="220">
        <f>A12</f>
        <v>1</v>
      </c>
      <c r="F12" s="803" t="s">
        <v>101</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102</v>
      </c>
      <c r="G13" s="794" t="s">
        <v>103</v>
      </c>
      <c r="H13" s="794" t="s">
        <v>104</v>
      </c>
      <c r="I13" s="792" t="s">
        <v>105</v>
      </c>
      <c r="J13" s="501">
        <f>MERGEVALUE(G13)</f>
      </c>
      <c r="K13" s="512"/>
      <c r="L13" s="512"/>
      <c r="M13" s="501" t="str">
        <f t="array" ref="M13:M13">IF(ISERROR(MATCH(MID(N13,1,250),MID(note_ter,1,250),0)),"n","y")</f>
        <v>n</v>
      </c>
      <c r="N13" s="512"/>
      <c r="O13" s="501" t="str">
        <f>H13&amp;"("&amp;I13&amp;")"</f>
        <v>Горноключевское городское поселение(05612154)</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106</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customHeight="1" ht="15">
      <c r="A15" s="2218" t="s">
        <v>107</v>
      </c>
      <c r="B15" s="1161"/>
      <c r="C15" s="802" t="s">
        <v>108</v>
      </c>
      <c r="D15" s="1819"/>
      <c r="E15" s="1806" t="str">
        <f>A15</f>
        <v>2</v>
      </c>
      <c r="F15" s="805" t="s">
        <v>109</v>
      </c>
      <c r="G15" s="541" t="str">
        <f>"Территория "&amp;E15</f>
        <v>Территория 2</v>
      </c>
      <c r="H15" s="793"/>
      <c r="I15" s="793"/>
      <c r="J15" s="790"/>
      <c r="K15" s="1625"/>
      <c r="L15" s="1625"/>
      <c r="M15" s="1625"/>
      <c r="N15" s="227"/>
      <c r="O15" s="1625"/>
      <c r="P15" s="226"/>
      <c r="Q15" s="226"/>
      <c r="R15" s="226"/>
      <c r="S15" s="226"/>
      <c r="T15" s="1820"/>
      <c r="U15" s="1820"/>
      <c r="V15" s="1820"/>
      <c r="W15" s="1820"/>
      <c r="X15" s="1820"/>
      <c r="Y15" s="1820"/>
      <c r="Z15" s="1820"/>
      <c r="AA15" s="1820"/>
      <c r="AB15" s="1820"/>
      <c r="AC15" s="1820"/>
    </row>
    <row customHeight="1" ht="15">
      <c r="A16" s="2218"/>
      <c r="B16" s="1161">
        <v>1</v>
      </c>
      <c r="C16" s="1161"/>
      <c r="D16" s="801"/>
      <c r="E16" s="1814" t="str">
        <f>A15&amp;"."&amp;B16</f>
        <v>2.1</v>
      </c>
      <c r="F16" s="804" t="s">
        <v>110</v>
      </c>
      <c r="G16" s="794" t="s">
        <v>111</v>
      </c>
      <c r="H16" s="794" t="s">
        <v>111</v>
      </c>
      <c r="I16" s="792" t="s">
        <v>112</v>
      </c>
      <c r="J16" s="1625"/>
      <c r="K16" s="1637"/>
      <c r="L16" s="1637"/>
      <c r="M16" s="1625" t="str">
        <f t="array" ref="M16:M16">IF(ISERROR(MATCH(MID(N16,1,250),MID(note_ter,1,250),0)),"n","y")</f>
        <v>n</v>
      </c>
      <c r="N16" s="1637"/>
      <c r="O16" s="1625" t="str">
        <f>H16&amp;"("&amp;I16&amp;")"</f>
        <v>Хасанский муниципальный округ(05548000)</v>
      </c>
      <c r="P16" s="1161"/>
      <c r="Q16" s="1161"/>
      <c r="R16" s="421"/>
      <c r="S16" s="1161"/>
      <c r="T16" s="1161"/>
      <c r="U16" s="1161"/>
      <c r="V16" s="423"/>
      <c r="W16" s="423"/>
      <c r="X16" s="420"/>
      <c r="Y16" s="420"/>
      <c r="Z16" s="420"/>
      <c r="AA16" s="420"/>
      <c r="AB16" s="420"/>
      <c r="AC16" s="420"/>
    </row>
    <row customHeight="1" ht="15">
      <c r="A17" s="2218"/>
      <c r="B17" s="1161"/>
      <c r="C17" s="413"/>
      <c r="D17" s="802"/>
      <c r="E17" s="422"/>
      <c r="F17" s="178"/>
      <c r="G17" s="416" t="s">
        <v>106</v>
      </c>
      <c r="H17" s="188"/>
      <c r="I17" s="425"/>
      <c r="J17" s="1637"/>
      <c r="K17" s="1637"/>
      <c r="L17" s="1637"/>
      <c r="M17" s="1637"/>
      <c r="N17" s="1625"/>
      <c r="O17" s="1637"/>
      <c r="P17" s="1161"/>
      <c r="Q17" s="1161"/>
      <c r="R17" s="421"/>
      <c r="S17" s="1161"/>
      <c r="T17" s="1161"/>
      <c r="U17" s="1161"/>
      <c r="V17" s="423"/>
      <c r="W17" s="423"/>
      <c r="X17" s="420"/>
      <c r="Y17" s="420"/>
      <c r="Z17" s="420"/>
      <c r="AA17" s="420"/>
      <c r="AB17" s="420"/>
      <c r="AC17" s="420"/>
    </row>
    <row customHeight="1" ht="15">
      <c r="A18" s="2218" t="s">
        <v>93</v>
      </c>
      <c r="B18" s="1161"/>
      <c r="C18" s="802" t="s">
        <v>108</v>
      </c>
      <c r="D18" s="1819"/>
      <c r="E18" s="1806" t="str">
        <f>A18</f>
        <v>3</v>
      </c>
      <c r="F18" s="805" t="s">
        <v>113</v>
      </c>
      <c r="G18" s="541" t="str">
        <f>"Территория "&amp;E18</f>
        <v>Территория 3</v>
      </c>
      <c r="H18" s="793"/>
      <c r="I18" s="793"/>
      <c r="J18" s="790"/>
      <c r="K18" s="1625"/>
      <c r="L18" s="1625"/>
      <c r="M18" s="1625"/>
      <c r="N18" s="227"/>
      <c r="O18" s="1625"/>
      <c r="P18" s="226"/>
      <c r="Q18" s="226"/>
      <c r="R18" s="226"/>
      <c r="S18" s="226"/>
      <c r="T18" s="1820"/>
      <c r="U18" s="1820"/>
      <c r="V18" s="1820"/>
      <c r="W18" s="1820"/>
      <c r="X18" s="1820"/>
      <c r="Y18" s="1820"/>
      <c r="Z18" s="1820"/>
      <c r="AA18" s="1820"/>
      <c r="AB18" s="1820"/>
      <c r="AC18" s="1820"/>
    </row>
    <row customHeight="1" ht="15">
      <c r="A19" s="2218"/>
      <c r="B19" s="1161">
        <v>1</v>
      </c>
      <c r="C19" s="1161"/>
      <c r="D19" s="801"/>
      <c r="E19" s="1814" t="str">
        <f>A18&amp;"."&amp;B19</f>
        <v>3.1</v>
      </c>
      <c r="F19" s="804" t="s">
        <v>114</v>
      </c>
      <c r="G19" s="794" t="s">
        <v>115</v>
      </c>
      <c r="H19" s="794" t="s">
        <v>116</v>
      </c>
      <c r="I19" s="792" t="s">
        <v>117</v>
      </c>
      <c r="J19" s="1625"/>
      <c r="K19" s="1637"/>
      <c r="L19" s="1637"/>
      <c r="M19" s="1625" t="str">
        <f t="array" ref="M19:M19">IF(ISERROR(MATCH(MID(N19,1,250),MID(note_ter,1,250),0)),"n","y")</f>
        <v>n</v>
      </c>
      <c r="N19" s="1637"/>
      <c r="O19" s="1625" t="str">
        <f>H19&amp;"("&amp;I19&amp;")"</f>
        <v>Рощинское сельское поселение(05614431)</v>
      </c>
      <c r="P19" s="1161"/>
      <c r="Q19" s="1161"/>
      <c r="R19" s="421"/>
      <c r="S19" s="1161"/>
      <c r="T19" s="1161"/>
      <c r="U19" s="1161"/>
      <c r="V19" s="423"/>
      <c r="W19" s="423"/>
      <c r="X19" s="420"/>
      <c r="Y19" s="420"/>
      <c r="Z19" s="420"/>
      <c r="AA19" s="420"/>
      <c r="AB19" s="420"/>
      <c r="AC19" s="420"/>
    </row>
    <row customHeight="1" ht="15">
      <c r="A20" s="2218"/>
      <c r="B20" s="1161"/>
      <c r="C20" s="413"/>
      <c r="D20" s="802"/>
      <c r="E20" s="422"/>
      <c r="F20" s="178"/>
      <c r="G20" s="416" t="s">
        <v>106</v>
      </c>
      <c r="H20" s="188"/>
      <c r="I20" s="425"/>
      <c r="J20" s="1637"/>
      <c r="K20" s="1637"/>
      <c r="L20" s="1637"/>
      <c r="M20" s="1637"/>
      <c r="N20" s="1625"/>
      <c r="O20" s="1637"/>
      <c r="P20" s="1161"/>
      <c r="Q20" s="1161"/>
      <c r="R20" s="421"/>
      <c r="S20" s="1161"/>
      <c r="T20" s="1161"/>
      <c r="U20" s="1161"/>
      <c r="V20" s="423"/>
      <c r="W20" s="423"/>
      <c r="X20" s="420"/>
      <c r="Y20" s="420"/>
      <c r="Z20" s="420"/>
      <c r="AA20" s="420"/>
      <c r="AB20" s="420"/>
      <c r="AC20" s="420"/>
    </row>
    <row s="1820" customFormat="1" customHeight="1" ht="14.699999999999998">
      <c r="A21" s="759"/>
      <c r="B21" s="418"/>
      <c r="C21" s="759"/>
      <c r="D21" s="783"/>
      <c r="E21" s="795"/>
      <c r="F21" s="179"/>
      <c r="G21" s="417" t="s">
        <v>118</v>
      </c>
      <c r="H21" s="179"/>
      <c r="I21" s="180"/>
      <c r="J21" s="250"/>
      <c r="K21" s="156"/>
      <c r="L21" s="156"/>
      <c r="M21" s="156"/>
      <c r="N21" s="227" t="s">
        <v>119</v>
      </c>
      <c r="O21" s="156"/>
      <c r="P21" s="226"/>
      <c r="Q21" s="226"/>
      <c r="R21" s="226"/>
      <c r="S21" s="226"/>
      <c r="AC21" s="117">
        <v>14</v>
      </c>
    </row>
    <row s="1820" customFormat="1" customHeight="1" ht="22.049999999999997">
      <c r="A22" s="759"/>
      <c r="B22" s="418"/>
      <c r="C22" s="759"/>
      <c r="D22" s="166"/>
      <c r="E22" s="181"/>
      <c r="F22" s="181"/>
      <c r="G22" s="181"/>
      <c r="H22" s="181"/>
      <c r="I22" s="181"/>
      <c r="J22" s="156"/>
      <c r="K22" s="156"/>
      <c r="L22" s="156"/>
      <c r="M22" s="156"/>
      <c r="N22" s="227"/>
      <c r="O22" s="156"/>
      <c r="P22" s="226"/>
      <c r="Q22" s="226"/>
      <c r="R22" s="226"/>
      <c r="S22" s="226"/>
      <c r="AC22" s="117">
        <v>21</v>
      </c>
    </row>
    <row s="1820" customFormat="1" customHeight="1" ht="14.699999999999998">
      <c r="A23" s="759"/>
      <c r="B23" s="418"/>
      <c r="C23" s="759"/>
      <c r="D23" s="166"/>
      <c r="E23" s="84"/>
      <c r="F23" s="759"/>
      <c r="G23" s="84"/>
      <c r="H23" s="84"/>
      <c r="I23" s="84"/>
      <c r="J23" s="156"/>
      <c r="K23" s="156"/>
      <c r="L23" s="156"/>
      <c r="M23" s="156"/>
      <c r="N23" s="227"/>
      <c r="O23" s="156"/>
      <c r="P23" s="226"/>
      <c r="Q23" s="226"/>
      <c r="R23" s="226"/>
      <c r="S23" s="226"/>
      <c r="AC23" s="117">
        <v>14</v>
      </c>
    </row>
    <row s="1820" customFormat="1" customHeight="1" ht="1.05">
      <c r="A24" s="759"/>
      <c r="B24" s="418"/>
      <c r="C24" s="759"/>
      <c r="D24" s="166"/>
      <c r="E24" s="84"/>
      <c r="F24" s="759"/>
      <c r="G24" s="84"/>
      <c r="H24" s="84"/>
      <c r="I24" s="84"/>
      <c r="J24" s="156"/>
      <c r="K24" s="156"/>
      <c r="L24" s="156"/>
      <c r="M24" s="156"/>
      <c r="N24" s="227"/>
      <c r="O24" s="156"/>
      <c r="P24" s="226"/>
      <c r="Q24" s="226"/>
      <c r="R24" s="226"/>
      <c r="S24" s="226"/>
      <c r="AC24" s="117">
        <v>1</v>
      </c>
    </row>
    <row s="1065" customFormat="1" customHeight="1" ht="10.5">
      <c r="B25" s="835"/>
      <c r="D25" s="183"/>
      <c r="J25" s="156"/>
      <c r="K25" s="156"/>
      <c r="L25" s="156"/>
      <c r="M25" s="156"/>
      <c r="N25" s="227"/>
      <c r="O25" s="156"/>
      <c r="P25" s="226"/>
      <c r="Q25" s="226"/>
      <c r="R25" s="226"/>
      <c r="S25" s="226"/>
      <c r="AC25" s="182">
        <v>10</v>
      </c>
    </row>
    <row s="1065" customFormat="1" customHeight="1" ht="10.5">
      <c r="B26" s="835"/>
      <c r="D26" s="183"/>
      <c r="J26" s="156"/>
      <c r="K26" s="156"/>
      <c r="L26" s="156"/>
      <c r="M26" s="156"/>
      <c r="N26" s="227"/>
      <c r="O26" s="156"/>
      <c r="P26" s="226"/>
      <c r="Q26" s="226"/>
      <c r="R26" s="226"/>
      <c r="S26" s="226"/>
      <c r="AC26" s="182">
        <v>10</v>
      </c>
    </row>
    <row customHeight="1" ht="14.699999999999998">
      <c r="AC27" s="84">
        <v>14</v>
      </c>
    </row>
    <row customHeight="1" ht="14.699999999999998">
      <c r="AC28" s="84">
        <v>14</v>
      </c>
    </row>
    <row customHeight="1" ht="14.699999999999998">
      <c r="AC29" s="84">
        <v>14</v>
      </c>
    </row>
    <row customHeight="1" ht="14.699999999999998">
      <c r="H30" s="65"/>
      <c r="AC30" s="84">
        <v>14</v>
      </c>
    </row>
    <row customHeight="1" ht="14.699999999999998">
      <c r="AC31" s="84">
        <v>14</v>
      </c>
    </row>
    <row customHeight="1" ht="14.699999999999998">
      <c r="AC32" s="84">
        <v>14</v>
      </c>
    </row>
    <row customHeight="1" ht="14.699999999999998">
      <c r="AC33" s="84">
        <v>14</v>
      </c>
    </row>
    <row customHeight="1" ht="14.699999999999998">
      <c r="J34" s="84"/>
      <c r="K34" s="84"/>
      <c r="L34" s="84"/>
      <c r="AC34" s="84">
        <v>14</v>
      </c>
    </row>
    <row customHeight="1" ht="22.5" hidden="1">
      <c r="A35" s="759" t="s">
        <v>85</v>
      </c>
      <c r="B35" s="418">
        <v>0</v>
      </c>
      <c r="C35" s="759">
        <v>3</v>
      </c>
      <c r="D35" s="166">
        <v>3</v>
      </c>
      <c r="E35" s="84">
        <v>6</v>
      </c>
      <c r="F35" s="759">
        <v>0</v>
      </c>
      <c r="G35" s="84">
        <v>46</v>
      </c>
      <c r="H35" s="84">
        <v>42</v>
      </c>
      <c r="I35" s="84">
        <v>14</v>
      </c>
      <c r="J35" s="156">
        <v>3</v>
      </c>
      <c r="K35" s="156">
        <v>0</v>
      </c>
      <c r="L35" s="156">
        <v>0</v>
      </c>
      <c r="M35" s="156">
        <v>0</v>
      </c>
      <c r="N35" s="227">
        <v>0</v>
      </c>
      <c r="O35" s="156">
        <v>0</v>
      </c>
      <c r="P35" s="226">
        <v>0</v>
      </c>
      <c r="Q35" s="226">
        <v>0</v>
      </c>
      <c r="R35" s="226">
        <v>0</v>
      </c>
      <c r="S35" s="226">
        <v>0</v>
      </c>
      <c r="T35" s="84">
        <v>0</v>
      </c>
      <c r="U35" s="84">
        <v>0</v>
      </c>
      <c r="V35" s="84">
        <v>0</v>
      </c>
      <c r="W35" s="84">
        <v>0</v>
      </c>
      <c r="X35" s="84">
        <v>0</v>
      </c>
      <c r="Y35" s="84">
        <v>0</v>
      </c>
      <c r="Z35" s="84">
        <v>0</v>
      </c>
      <c r="AA35" s="84">
        <v>0</v>
      </c>
      <c r="AB35" s="84">
        <v>8</v>
      </c>
      <c r="AC35" s="84">
        <v>23</v>
      </c>
    </row>
  </sheetData>
  <sheetProtection formatColumns="0" formatRows="0" autoFilter="0" sort="0" insertRows="0" insertColumns="1" deleteRows="0" deleteColumns="0"/>
  <mergeCells count="6">
    <mergeCell ref="A12:A14"/>
    <mergeCell ref="E4:I4"/>
    <mergeCell ref="E8:G8"/>
    <mergeCell ref="H8:I8"/>
    <mergeCell ref="A15:A17"/>
    <mergeCell ref="A18:A20"/>
  </mergeCells>
  <dataValidations count="3">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AA7792-D757-61E8-3458-67DF058E3D78}"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Показатели, подлежащие раскрытию в сфере теплоснабжения (цены и тарифы)</v>
      </c>
      <c r="E4" s="2121"/>
      <c r="F4" s="2121"/>
      <c r="G4" s="2121"/>
      <c r="H4" s="2121"/>
      <c r="I4" s="2122"/>
      <c r="J4" s="585"/>
      <c r="K4" s="585"/>
      <c r="L4" s="585"/>
      <c r="M4" s="585"/>
      <c r="AM4" s="584">
        <v>34</v>
      </c>
    </row>
    <row s="590" customFormat="1" customHeight="1" ht="14.699999999999998">
      <c r="A5" s="586"/>
      <c r="B5" s="586"/>
      <c r="C5" s="586"/>
      <c r="D5" s="2123" t="str">
        <f>IF(org=0,"Не определено",org)</f>
        <v>КГУП "Примтеплоэнерго"</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120</v>
      </c>
      <c r="E9" s="2128"/>
      <c r="F9" s="2129" t="s">
        <v>121</v>
      </c>
      <c r="G9" s="2130"/>
      <c r="H9" s="2130"/>
      <c r="I9" s="2130"/>
      <c r="J9" s="2133" t="s">
        <v>122</v>
      </c>
      <c r="K9" s="2133"/>
      <c r="L9" s="2133"/>
      <c r="M9" s="2133"/>
      <c r="AM9" s="584">
        <v>18</v>
      </c>
    </row>
    <row customHeight="1" ht="24">
      <c r="A10" s="2127"/>
      <c r="B10" s="593"/>
      <c r="C10" s="526"/>
      <c r="D10" s="524" t="s">
        <v>91</v>
      </c>
      <c r="E10" s="524" t="s">
        <v>92</v>
      </c>
      <c r="F10" s="524" t="s">
        <v>123</v>
      </c>
      <c r="G10" s="2134" t="s">
        <v>91</v>
      </c>
      <c r="H10" s="2135"/>
      <c r="I10" s="524" t="s">
        <v>92</v>
      </c>
      <c r="J10" s="524" t="s">
        <v>123</v>
      </c>
      <c r="K10" s="2134" t="s">
        <v>91</v>
      </c>
      <c r="L10" s="2135"/>
      <c r="M10" s="524" t="s">
        <v>92</v>
      </c>
      <c r="N10" s="1628"/>
      <c r="AM10" s="584">
        <v>23</v>
      </c>
    </row>
    <row s="1854" customFormat="1" customHeight="1" ht="11.25" hidden="1">
      <c r="A11" s="594"/>
      <c r="B11" s="594"/>
      <c r="C11" s="594"/>
      <c r="D11" s="595" t="s">
        <v>124</v>
      </c>
      <c r="E11" s="595" t="s">
        <v>107</v>
      </c>
      <c r="F11" s="595" t="s">
        <v>93</v>
      </c>
      <c r="G11" s="2116" t="s">
        <v>94</v>
      </c>
      <c r="H11" s="2117"/>
      <c r="I11" s="595" t="s">
        <v>125</v>
      </c>
      <c r="J11" s="595" t="s">
        <v>95</v>
      </c>
      <c r="K11" s="2118" t="s">
        <v>96</v>
      </c>
      <c r="L11" s="2119"/>
      <c r="M11" s="595" t="s">
        <v>126</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127</v>
      </c>
      <c r="P12" s="1414" t="s">
        <v>128</v>
      </c>
      <c r="Q12" s="1414" t="s">
        <v>129</v>
      </c>
      <c r="R12" s="1414" t="s">
        <v>130</v>
      </c>
      <c r="AM12" s="584">
        <v>1</v>
      </c>
    </row>
    <row s="1854" customFormat="1" customHeight="1" ht="15.75">
      <c r="A13" s="294"/>
      <c r="B13" s="294"/>
      <c r="C13" s="527"/>
      <c r="D13" s="2109" t="s">
        <v>124</v>
      </c>
      <c r="E13" s="2110"/>
      <c r="F13" s="2113" t="s">
        <v>64</v>
      </c>
      <c r="G13" s="2114"/>
      <c r="H13" s="2115">
        <v>1</v>
      </c>
      <c r="I13" s="2106" t="str">
        <f>IF(U13="","",INDEX(TERRITORY_MR_LIST,MATCH(U13,TERRITORY_LIST_ID,0)))</f>
        <v/>
      </c>
      <c r="J13" s="2108" t="s">
        <v>19</v>
      </c>
      <c r="K13" s="603"/>
      <c r="L13" s="528" t="s">
        <v>124</v>
      </c>
      <c r="M13" s="604" t="s">
        <v>28</v>
      </c>
      <c r="N13" s="813"/>
      <c r="O13" s="1417" t="s">
        <v>131</v>
      </c>
      <c r="P13" s="1414">
        <f>$E$13</f>
        <v>0</v>
      </c>
      <c r="Q13" s="1414" t="str">
        <f>IF($F$13="нет","без дифференциации",$I$13)</f>
        <v/>
      </c>
      <c r="R13" s="1414" t="str">
        <f>IF($J$13="нет","без дифференциации",M13)</f>
        <v>без дифференциации</v>
      </c>
      <c r="S13" s="1417"/>
      <c r="T13" s="1417"/>
      <c r="U13" s="1267"/>
      <c r="V13" s="1267"/>
      <c r="W13" s="1267"/>
      <c r="X13" s="1267"/>
      <c r="Y13" s="605" t="s">
        <v>132</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133</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134</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135</v>
      </c>
      <c r="F16" s="178"/>
      <c r="G16" s="178"/>
      <c r="H16" s="178"/>
      <c r="I16" s="178"/>
      <c r="J16" s="178"/>
      <c r="K16" s="178" t="s">
        <v>28</v>
      </c>
      <c r="L16" s="178"/>
      <c r="M16" s="609"/>
      <c r="N16" s="1628"/>
      <c r="AM16" s="584">
        <v>15</v>
      </c>
    </row>
    <row customHeight="1" ht="11.25" hidden="1">
      <c r="A17" s="584" t="s">
        <v>85</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ECB998-514A-BB5C-FF5B-7EA067720EF8}" mc:Ignorable="x14ac xr xr2 xr3">
  <sheetPr>
    <tabColor rgb="FFCCCCFF"/>
  </sheetPr>
  <dimension ref="A1:AR159"/>
  <sheetViews>
    <sheetView showGridLines="0" zoomScale="90" workbookViewId="0">
      <pane xSplit="6" ySplit="12" topLeftCell="G58" activePane="bottomRight" state="frozen"/>
      <selection pane="bottomLeft" activeCell="A13" sqref="A13"/>
      <selection pane="topRight" activeCell="G1" sqref="G1"/>
      <selection pane="bottomRight" activeCell="R73" sqref="R73"/>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customWidth="1"/>
    <col min="21" max="21" style="1854" width="5.7109375" customWidth="1"/>
    <col min="22" max="22" style="1854" width="34.421875"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КГУП "Примтеплоэнерго"</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91</v>
      </c>
      <c r="E9" s="2102" t="s">
        <v>136</v>
      </c>
      <c r="F9" s="2104"/>
      <c r="G9" s="2128" t="s">
        <v>120</v>
      </c>
      <c r="H9" s="2128" t="s">
        <v>91</v>
      </c>
      <c r="I9" s="2128"/>
      <c r="J9" s="2128" t="s">
        <v>137</v>
      </c>
      <c r="K9" s="2156" t="s">
        <v>138</v>
      </c>
      <c r="L9" s="2156"/>
      <c r="M9" s="2156"/>
      <c r="N9" s="2156"/>
      <c r="O9" s="2156" t="s">
        <v>139</v>
      </c>
      <c r="P9" s="2156"/>
      <c r="Q9" s="2156"/>
      <c r="R9" s="2156"/>
      <c r="S9" s="2156" t="s">
        <v>140</v>
      </c>
      <c r="T9" s="2156"/>
      <c r="U9" s="2156"/>
      <c r="V9" s="2156"/>
      <c r="W9" s="2128" t="s">
        <v>141</v>
      </c>
      <c r="AR9" s="105">
        <v>27</v>
      </c>
    </row>
    <row customHeight="1" ht="31.5">
      <c r="D10" s="2128"/>
      <c r="E10" s="1285" t="s">
        <v>92</v>
      </c>
      <c r="F10" s="1285" t="s">
        <v>142</v>
      </c>
      <c r="G10" s="2128"/>
      <c r="H10" s="2128"/>
      <c r="I10" s="2128"/>
      <c r="J10" s="2128"/>
      <c r="K10" s="111" t="s">
        <v>123</v>
      </c>
      <c r="L10" s="2128" t="s">
        <v>91</v>
      </c>
      <c r="M10" s="2128"/>
      <c r="N10" s="111" t="s">
        <v>143</v>
      </c>
      <c r="O10" s="111" t="s">
        <v>123</v>
      </c>
      <c r="P10" s="2128" t="s">
        <v>91</v>
      </c>
      <c r="Q10" s="2128"/>
      <c r="R10" s="111" t="s">
        <v>143</v>
      </c>
      <c r="S10" s="284" t="s">
        <v>123</v>
      </c>
      <c r="T10" s="2128" t="s">
        <v>91</v>
      </c>
      <c r="U10" s="2128"/>
      <c r="V10" s="284" t="s">
        <v>92</v>
      </c>
      <c r="W10" s="2128"/>
      <c r="Z10" s="1260" t="s">
        <v>144</v>
      </c>
      <c r="AA10" s="1260" t="s">
        <v>145</v>
      </c>
      <c r="AB10" s="1260" t="s">
        <v>146</v>
      </c>
      <c r="AC10" s="1260" t="s">
        <v>147</v>
      </c>
      <c r="AD10" s="1260" t="s">
        <v>148</v>
      </c>
      <c r="AE10" s="1260" t="s">
        <v>149</v>
      </c>
      <c r="AF10" s="1260" t="s">
        <v>150</v>
      </c>
      <c r="AG10" s="1260" t="s">
        <v>151</v>
      </c>
      <c r="AH10" s="1260" t="s">
        <v>152</v>
      </c>
      <c r="AI10" s="1260" t="s">
        <v>153</v>
      </c>
      <c r="AJ10" s="1260" t="s">
        <v>154</v>
      </c>
      <c r="AK10" s="1260" t="s">
        <v>155</v>
      </c>
      <c r="AL10" s="1260" t="s">
        <v>156</v>
      </c>
      <c r="AM10" s="1260" t="s">
        <v>157</v>
      </c>
      <c r="AN10" s="1260" t="s">
        <v>158</v>
      </c>
      <c r="AO10" s="1260" t="s">
        <v>159</v>
      </c>
      <c r="AP10" s="1260" t="s">
        <v>160</v>
      </c>
      <c r="AQ10" s="1260" t="s">
        <v>161</v>
      </c>
      <c r="AR10" s="105">
        <v>30</v>
      </c>
    </row>
    <row s="1625" customFormat="1" customHeight="1" ht="12" hidden="1">
      <c r="D11" s="1250" t="s">
        <v>124</v>
      </c>
      <c r="E11" s="1250" t="s">
        <v>107</v>
      </c>
      <c r="F11" s="1250"/>
      <c r="G11" s="1250" t="s">
        <v>93</v>
      </c>
      <c r="H11" s="2157" t="s">
        <v>125</v>
      </c>
      <c r="I11" s="2157"/>
      <c r="J11" s="1250" t="s">
        <v>95</v>
      </c>
      <c r="K11" s="1250" t="s">
        <v>96</v>
      </c>
      <c r="L11" s="2157" t="s">
        <v>126</v>
      </c>
      <c r="M11" s="2157"/>
      <c r="N11" s="1250" t="s">
        <v>162</v>
      </c>
      <c r="O11" s="1250" t="s">
        <v>163</v>
      </c>
      <c r="P11" s="2157" t="s">
        <v>164</v>
      </c>
      <c r="Q11" s="2157"/>
      <c r="R11" s="1250" t="s">
        <v>165</v>
      </c>
      <c r="S11" s="1250" t="s">
        <v>164</v>
      </c>
      <c r="T11" s="2157" t="s">
        <v>165</v>
      </c>
      <c r="U11" s="2157"/>
      <c r="V11" s="1250" t="s">
        <v>166</v>
      </c>
      <c r="W11" s="1250" t="s">
        <v>167</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c r="A13" s="322"/>
      <c r="C13" s="210"/>
      <c r="D13" s="2136">
        <v>1</v>
      </c>
      <c r="E13" s="2144" t="s">
        <v>168</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169</v>
      </c>
      <c r="AD13" s="1268" t="s">
        <v>170</v>
      </c>
      <c r="AE13" s="1268" t="s">
        <v>171</v>
      </c>
      <c r="AF13" s="1268" t="s">
        <v>172</v>
      </c>
      <c r="AG13" s="1268" t="s">
        <v>173</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c r="A18" s="322"/>
      <c r="C18" s="210"/>
      <c r="D18" s="2136">
        <v>2</v>
      </c>
      <c r="E18" s="2165" t="s">
        <v>174</v>
      </c>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175</v>
      </c>
      <c r="AD18" s="1268" t="s">
        <v>176</v>
      </c>
      <c r="AE18" s="1268" t="s">
        <v>177</v>
      </c>
      <c r="AF18" s="1268" t="s">
        <v>178</v>
      </c>
      <c r="AG18" s="1268" t="s">
        <v>179</v>
      </c>
      <c r="AH18" s="1268" t="str">
        <f>IF($E$18=0,"",$E$18)</f>
        <v>Тарифы на тепловую энергию (мощность), поставляемую теплоснабжающими организациями потребителям, другим теплоснабжающим организациям</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174</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t="s">
        <v>28</v>
      </c>
      <c r="AA23" s="1268" t="s">
        <v>28</v>
      </c>
      <c r="AB23" s="1268" t="s">
        <v>28</v>
      </c>
      <c r="AC23" s="1268" t="s">
        <v>28</v>
      </c>
      <c r="AD23" s="1268" t="s">
        <v>28</v>
      </c>
      <c r="AE23" s="1268" t="s">
        <v>28</v>
      </c>
      <c r="AF23" s="1268" t="s">
        <v>28</v>
      </c>
      <c r="AG23" s="1268" t="s">
        <v>28</v>
      </c>
      <c r="AH23" s="1268" t="s">
        <v>28</v>
      </c>
      <c r="AI23" s="1268" t="s">
        <v>28</v>
      </c>
      <c r="AJ23" s="1268" t="s">
        <v>28</v>
      </c>
      <c r="AK23" s="1268" t="s">
        <v>28</v>
      </c>
      <c r="AL23" s="1268" t="s">
        <v>28</v>
      </c>
      <c r="AM23" s="1268" t="s">
        <v>28</v>
      </c>
      <c r="AN23" s="1773" t="s">
        <v>28</v>
      </c>
      <c r="AO23" s="1268" t="s">
        <v>28</v>
      </c>
      <c r="AP23" s="1267" t="s">
        <v>28</v>
      </c>
      <c r="AQ23" s="1267" t="s">
        <v>28</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c r="A28" s="322"/>
      <c r="C28" s="210"/>
      <c r="D28" s="2136">
        <v>3</v>
      </c>
      <c r="E28" s="2144" t="s">
        <v>180</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181</v>
      </c>
      <c r="AD28" s="1268" t="s">
        <v>182</v>
      </c>
      <c r="AE28" s="1268" t="s">
        <v>183</v>
      </c>
      <c r="AF28" s="1268" t="s">
        <v>184</v>
      </c>
      <c r="AG28" s="1268" t="s">
        <v>185</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c r="A33" s="322"/>
      <c r="C33" s="210"/>
      <c r="D33" s="2136">
        <v>4</v>
      </c>
      <c r="E33" s="2144" t="s">
        <v>186</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187</v>
      </c>
      <c r="AD33" s="1268" t="s">
        <v>188</v>
      </c>
      <c r="AE33" s="1268" t="s">
        <v>189</v>
      </c>
      <c r="AF33" s="1268" t="s">
        <v>190</v>
      </c>
      <c r="AG33" s="1268" t="s">
        <v>191</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c r="A38" s="322"/>
      <c r="C38" s="210"/>
      <c r="D38" s="2136">
        <v>5</v>
      </c>
      <c r="E38" s="2144" t="s">
        <v>192</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193</v>
      </c>
      <c r="AD38" s="1268" t="s">
        <v>194</v>
      </c>
      <c r="AE38" s="1268" t="s">
        <v>195</v>
      </c>
      <c r="AF38" s="1268" t="s">
        <v>196</v>
      </c>
      <c r="AG38" s="1268" t="s">
        <v>197</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c r="A43" s="322"/>
      <c r="C43" s="210"/>
      <c r="D43" s="2136">
        <v>6</v>
      </c>
      <c r="E43" s="2144" t="s">
        <v>198</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199</v>
      </c>
      <c r="AD43" s="1268" t="s">
        <v>200</v>
      </c>
      <c r="AE43" s="1268" t="s">
        <v>201</v>
      </c>
      <c r="AF43" s="1268" t="s">
        <v>202</v>
      </c>
      <c r="AG43" s="1268" t="s">
        <v>203</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c r="A48" s="322"/>
      <c r="C48" s="210"/>
      <c r="D48" s="2167">
        <v>7</v>
      </c>
      <c r="E48" s="2170" t="s">
        <v>204</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205</v>
      </c>
      <c r="AD48" s="1268" t="s">
        <v>206</v>
      </c>
      <c r="AE48" s="1268" t="s">
        <v>207</v>
      </c>
      <c r="AF48" s="1268" t="s">
        <v>208</v>
      </c>
      <c r="AG48" s="1268" t="s">
        <v>209</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c r="A53" s="322"/>
      <c r="C53" s="210"/>
      <c r="D53" s="2136">
        <v>8</v>
      </c>
      <c r="E53" s="2144" t="s">
        <v>210</v>
      </c>
      <c r="F53" s="2146" t="s">
        <v>64</v>
      </c>
      <c r="G53" s="2630" t="str">
        <f>INDEX(VD_NAME_LIST,MATCH("4190072",VD_ID_LIST,0))</f>
        <v>Подключение (технологическое присоединение) к системе теплоснабжения</v>
      </c>
      <c r="H53" s="2554"/>
      <c r="I53" s="2554">
        <v>1</v>
      </c>
      <c r="J53" s="2502" t="s">
        <v>211</v>
      </c>
      <c r="K53" s="2186" t="s">
        <v>64</v>
      </c>
      <c r="L53" s="2109"/>
      <c r="M53" s="2109" t="s">
        <v>124</v>
      </c>
      <c r="N53" s="2505" t="str">
        <f>IF(Z53="","",INDEX(TERRITORY_MR_LIST,MATCH(Z53,TERRITORY_LIST_ID,0)))</f>
        <v>Территория 1</v>
      </c>
      <c r="O53" s="2186" t="s">
        <v>64</v>
      </c>
      <c r="P53" s="2109"/>
      <c r="Q53" s="2109" t="s">
        <v>124</v>
      </c>
      <c r="R53" s="2572" t="s">
        <v>104</v>
      </c>
      <c r="S53" s="2108" t="s">
        <v>19</v>
      </c>
      <c r="T53" s="2109"/>
      <c r="U53" s="2109" t="s">
        <v>124</v>
      </c>
      <c r="V53" s="2631" t="s">
        <v>28</v>
      </c>
      <c r="W53" s="2502"/>
      <c r="X53" s="1268"/>
      <c r="Y53" s="1268"/>
      <c r="Z53" s="1268" t="s">
        <v>101</v>
      </c>
      <c r="AA53" s="1268"/>
      <c r="AB53" s="1268" t="s">
        <v>212</v>
      </c>
      <c r="AC53" s="1268" t="s">
        <v>213</v>
      </c>
      <c r="AD53" s="1268" t="s">
        <v>214</v>
      </c>
      <c r="AE53" s="1268" t="s">
        <v>215</v>
      </c>
      <c r="AF53" s="1268" t="s">
        <v>216</v>
      </c>
      <c r="AG53" s="1268" t="s">
        <v>217</v>
      </c>
      <c r="AH53" s="1268" t="str">
        <f>IF($E$53=0,"",$E$53)</f>
        <v>Плата за подключение (технологическое присоединение) к системе теплоснабжения</v>
      </c>
      <c r="AI53" s="1268" t="str">
        <f>IF($G$53=0,"",$G$53)</f>
        <v>Подключение (технологическое присоединение) к системе теплоснабжения</v>
      </c>
      <c r="AJ53" s="1268" t="str">
        <f>IF($J$53=0,"",$J$53)</f>
        <v>Расходы на проведение мероприятий по подключению объектов заявителей</v>
      </c>
      <c r="AK53" s="1268" t="str">
        <f>IF($K$53="нет","без дифференциации",IF($N$53=0,"",$N$53))</f>
        <v>Территория 1</v>
      </c>
      <c r="AL53" s="1268" t="str">
        <f>IF($O$53="нет","без дифференциации",IF($R$53=0,"",$R$53))</f>
        <v>Горноключевское городское поселение</v>
      </c>
      <c r="AM53" s="1268" t="str">
        <f>IF($S$53="нет","без дифференциации",IF($V$53=0,"",$V$53))</f>
        <v>без дифференциации</v>
      </c>
      <c r="AN53" s="1773">
        <f>$I$53</f>
        <v>1</v>
      </c>
      <c r="AO53" s="1268" t="str">
        <f>$I$53&amp;"."&amp;$M$53</f>
        <v>1.1</v>
      </c>
      <c r="AP53" s="1260" t="str">
        <f>$I$53&amp;"."&amp;$M$53&amp;"."&amp;$Q$53</f>
        <v>1.1.1</v>
      </c>
      <c r="AQ53" s="1260" t="str">
        <f>$I$53&amp;"."&amp;$M$53&amp;"."&amp;$Q$53&amp;"."&amp;$U$53</f>
        <v>1.1.1.1</v>
      </c>
      <c r="AR53" s="1309">
        <v>0</v>
      </c>
    </row>
    <row s="1854" customFormat="1" customHeight="1" ht="17.25">
      <c r="A54" s="322"/>
      <c r="C54" s="321"/>
      <c r="D54" s="2136"/>
      <c r="E54" s="2144"/>
      <c r="F54" s="2147"/>
      <c r="G54" s="2630"/>
      <c r="H54" s="2554"/>
      <c r="I54" s="2554"/>
      <c r="J54" s="2502"/>
      <c r="K54" s="2187"/>
      <c r="L54" s="2109"/>
      <c r="M54" s="2109"/>
      <c r="N54" s="2505"/>
      <c r="O54" s="2187"/>
      <c r="P54" s="2109"/>
      <c r="Q54" s="2109"/>
      <c r="R54" s="2572"/>
      <c r="S54" s="2108"/>
      <c r="T54" s="2632"/>
      <c r="U54" s="2633"/>
      <c r="V54" s="2634" t="s">
        <v>218</v>
      </c>
      <c r="W54" s="2635"/>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c r="A55" s="322"/>
      <c r="C55" s="321"/>
      <c r="D55" s="2137"/>
      <c r="E55" s="2145"/>
      <c r="F55" s="2147"/>
      <c r="G55" s="2636"/>
      <c r="H55" s="2504"/>
      <c r="I55" s="2504"/>
      <c r="J55" s="2534"/>
      <c r="K55" s="2187"/>
      <c r="L55" s="2504"/>
      <c r="M55" s="2504"/>
      <c r="N55" s="2506"/>
      <c r="O55" s="2113"/>
      <c r="P55" s="2637"/>
      <c r="Q55" s="2638"/>
      <c r="R55" s="2639" t="s">
        <v>219</v>
      </c>
      <c r="S55" s="2640"/>
      <c r="T55" s="2641"/>
      <c r="U55" s="2642"/>
      <c r="V55" s="2643"/>
      <c r="W55" s="2644"/>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customHeight="1" ht="17.25">
      <c r="A56" s="1841"/>
      <c r="B56" s="1854"/>
      <c r="C56" s="1843"/>
      <c r="D56" s="1831"/>
      <c r="E56" s="1848"/>
      <c r="F56" s="1785"/>
      <c r="G56" s="1849"/>
      <c r="H56" s="1831"/>
      <c r="I56" s="1831"/>
      <c r="J56" s="1850"/>
      <c r="K56" s="1761"/>
      <c r="L56" s="2109" t="s">
        <v>108</v>
      </c>
      <c r="M56" s="2109" t="s">
        <v>107</v>
      </c>
      <c r="N56" s="2505" t="str">
        <f>IF(Z56="","",INDEX(TERRITORY_MR_LIST,MATCH(Z56,TERRITORY_LIST_ID,0)))</f>
        <v>Территория 2</v>
      </c>
      <c r="O56" s="2186" t="s">
        <v>64</v>
      </c>
      <c r="P56" s="2109"/>
      <c r="Q56" s="2109" t="s">
        <v>124</v>
      </c>
      <c r="R56" s="2503" t="s">
        <v>111</v>
      </c>
      <c r="S56" s="2108" t="s">
        <v>19</v>
      </c>
      <c r="T56" s="1812"/>
      <c r="U56" s="1812" t="s">
        <v>124</v>
      </c>
      <c r="V56" s="2645" t="s">
        <v>28</v>
      </c>
      <c r="W56" s="1802"/>
      <c r="X56" s="1854"/>
      <c r="Y56" s="1268"/>
      <c r="Z56" s="1268" t="s">
        <v>109</v>
      </c>
      <c r="AA56" s="1268"/>
      <c r="AB56" s="1268"/>
      <c r="AC56" s="1975" t="s">
        <v>213</v>
      </c>
      <c r="AD56" s="1975" t="s">
        <v>214</v>
      </c>
      <c r="AE56" s="1268" t="s">
        <v>220</v>
      </c>
      <c r="AF56" s="1268" t="s">
        <v>221</v>
      </c>
      <c r="AG56" s="1268" t="s">
        <v>222</v>
      </c>
      <c r="AH56" s="1268" t="str">
        <f>IF($E$53=0,"",$E$53)</f>
        <v>Плата за подключение (технологическое присоединение) к системе теплоснабжения</v>
      </c>
      <c r="AI56" s="1268" t="str">
        <f>IF($G$53=0,"",$G$53)</f>
        <v>Подключение (технологическое присоединение) к системе теплоснабжения</v>
      </c>
      <c r="AJ56" s="1268" t="str">
        <f>IF($J$53=0,"",$J$53)</f>
        <v>Расходы на проведение мероприятий по подключению объектов заявителей</v>
      </c>
      <c r="AK56" s="1268" t="str">
        <f>IF($K$56="нет","без дифференциации",IF($N$56=0,"",$N$56))</f>
        <v>Территория 2</v>
      </c>
      <c r="AL56" s="1845" t="str">
        <f>IF($O$56="нет","без дифференциации",IF($R$56=0,"",$R$56))</f>
        <v>Хасанский муниципальный округ</v>
      </c>
      <c r="AM56" s="1845" t="str">
        <f>IF($S$56="нет","без дифференциации",IF($V$56=0,"",$V$56))</f>
        <v>без дифференциации</v>
      </c>
      <c r="AN56" s="1268">
        <f>$I$53</f>
        <v>1</v>
      </c>
      <c r="AO56" s="1268" t="str">
        <f>$I$53&amp;"."&amp;$M$56</f>
        <v>1.2</v>
      </c>
      <c r="AP56" s="1268" t="str">
        <f>$I$53&amp;"."&amp;$M$56&amp;"."&amp;$Q$56</f>
        <v>1.2.1</v>
      </c>
      <c r="AQ56" s="1268" t="str">
        <f>$I$53&amp;"."&amp;$M$56&amp;"."&amp;$Q$56&amp;"."&amp;$U$56</f>
        <v>1.2.1.1</v>
      </c>
      <c r="AR56" s="1854"/>
    </row>
    <row customHeight="1" ht="17.25">
      <c r="A57" s="1841"/>
      <c r="B57" s="1854"/>
      <c r="C57" s="1846"/>
      <c r="D57" s="1831"/>
      <c r="E57" s="1848"/>
      <c r="F57" s="1785"/>
      <c r="G57" s="1849"/>
      <c r="H57" s="1831"/>
      <c r="I57" s="1831"/>
      <c r="J57" s="1850"/>
      <c r="K57" s="1761"/>
      <c r="L57" s="2109"/>
      <c r="M57" s="2109"/>
      <c r="N57" s="2505"/>
      <c r="O57" s="2187"/>
      <c r="P57" s="2109"/>
      <c r="Q57" s="2109"/>
      <c r="R57" s="2503"/>
      <c r="S57" s="2108"/>
      <c r="T57" s="318"/>
      <c r="U57" s="319"/>
      <c r="V57" s="319" t="s">
        <v>218</v>
      </c>
      <c r="W57" s="320"/>
      <c r="X57" s="1854"/>
      <c r="Y57" s="1260"/>
      <c r="Z57" s="1260"/>
      <c r="AA57" s="1260"/>
      <c r="AB57" s="1260"/>
      <c r="AC57" s="1260"/>
      <c r="AD57" s="1260"/>
      <c r="AE57" s="1260"/>
      <c r="AF57" s="1260"/>
      <c r="AG57" s="1260"/>
      <c r="AH57" s="1260"/>
      <c r="AI57" s="1260"/>
      <c r="AJ57" s="1260"/>
      <c r="AK57" s="1260"/>
      <c r="AL57" s="1854"/>
      <c r="AM57" s="1854"/>
      <c r="AN57" s="1854"/>
      <c r="AO57" s="1854"/>
      <c r="AP57" s="1854"/>
      <c r="AQ57" s="1854"/>
      <c r="AR57" s="1854"/>
    </row>
    <row customHeight="1" ht="17.25">
      <c r="A58" s="1841"/>
      <c r="B58" s="1854"/>
      <c r="C58" s="1846"/>
      <c r="D58" s="1831"/>
      <c r="E58" s="1848"/>
      <c r="F58" s="1785"/>
      <c r="G58" s="1849"/>
      <c r="H58" s="1831"/>
      <c r="I58" s="1831"/>
      <c r="J58" s="1850"/>
      <c r="K58" s="1761"/>
      <c r="L58" s="2504"/>
      <c r="M58" s="2504"/>
      <c r="N58" s="2506"/>
      <c r="O58" s="2113"/>
      <c r="P58" s="318"/>
      <c r="Q58" s="319"/>
      <c r="R58" s="319" t="s">
        <v>219</v>
      </c>
      <c r="S58" s="1847"/>
      <c r="T58" s="1847"/>
      <c r="U58" s="1847"/>
      <c r="V58" s="1847"/>
      <c r="W58" s="320"/>
      <c r="X58" s="1854"/>
      <c r="Y58" s="1260"/>
      <c r="Z58" s="1260"/>
      <c r="AA58" s="1260"/>
      <c r="AB58" s="1260"/>
      <c r="AC58" s="1260"/>
      <c r="AD58" s="1260"/>
      <c r="AE58" s="1260"/>
      <c r="AF58" s="1260"/>
      <c r="AG58" s="1260"/>
      <c r="AH58" s="1260"/>
      <c r="AI58" s="1260"/>
      <c r="AJ58" s="1260"/>
      <c r="AK58" s="1260"/>
      <c r="AL58" s="1854"/>
      <c r="AM58" s="1854"/>
      <c r="AN58" s="1854"/>
      <c r="AO58" s="1854"/>
      <c r="AP58" s="1854"/>
      <c r="AQ58" s="1854"/>
      <c r="AR58" s="1854"/>
    </row>
    <row customHeight="1" ht="17.25">
      <c r="A59" s="1841"/>
      <c r="B59" s="1854"/>
      <c r="C59" s="1843"/>
      <c r="D59" s="1831"/>
      <c r="E59" s="1848"/>
      <c r="F59" s="1785"/>
      <c r="G59" s="1849"/>
      <c r="H59" s="1831"/>
      <c r="I59" s="1831"/>
      <c r="J59" s="1850"/>
      <c r="K59" s="1761"/>
      <c r="L59" s="2109" t="s">
        <v>108</v>
      </c>
      <c r="M59" s="2109" t="s">
        <v>93</v>
      </c>
      <c r="N59" s="2505" t="str">
        <f>IF(Z59="","",INDEX(TERRITORY_MR_LIST,MATCH(Z59,TERRITORY_LIST_ID,0)))</f>
        <v>Территория 3</v>
      </c>
      <c r="O59" s="2186" t="s">
        <v>64</v>
      </c>
      <c r="P59" s="2109"/>
      <c r="Q59" s="2109" t="s">
        <v>124</v>
      </c>
      <c r="R59" s="2503" t="s">
        <v>223</v>
      </c>
      <c r="S59" s="2108" t="s">
        <v>19</v>
      </c>
      <c r="T59" s="1812"/>
      <c r="U59" s="1812" t="s">
        <v>124</v>
      </c>
      <c r="V59" s="2852" t="s">
        <v>28</v>
      </c>
      <c r="W59" s="1802"/>
      <c r="X59" s="1854"/>
      <c r="Y59" s="1268"/>
      <c r="Z59" s="1268" t="s">
        <v>113</v>
      </c>
      <c r="AA59" s="1268"/>
      <c r="AB59" s="1268"/>
      <c r="AC59" s="1975" t="s">
        <v>213</v>
      </c>
      <c r="AD59" s="1975" t="s">
        <v>214</v>
      </c>
      <c r="AE59" s="1268" t="s">
        <v>224</v>
      </c>
      <c r="AF59" s="1268" t="s">
        <v>225</v>
      </c>
      <c r="AG59" s="1268" t="s">
        <v>226</v>
      </c>
      <c r="AH59" s="1268" t="str">
        <f>IF($E$53=0,"",$E$53)</f>
        <v>Плата за подключение (технологическое присоединение) к системе теплоснабжения</v>
      </c>
      <c r="AI59" s="1268" t="str">
        <f>IF($G$53=0,"",$G$53)</f>
        <v>Подключение (технологическое присоединение) к системе теплоснабжения</v>
      </c>
      <c r="AJ59" s="1268" t="str">
        <f>IF($J$53=0,"",$J$53)</f>
        <v>Расходы на проведение мероприятий по подключению объектов заявителей</v>
      </c>
      <c r="AK59" s="1268" t="str">
        <f>IF($K$59="нет","без дифференциации",IF($N$59=0,"",$N$59))</f>
        <v>Территория 3</v>
      </c>
      <c r="AL59" s="1845" t="str">
        <f>IF($O$59="нет","без дифференциации",IF($R$59=0,"",$R$59))</f>
        <v>Рощинское сельское поселение с. Рощино</v>
      </c>
      <c r="AM59" s="1845" t="str">
        <f>IF($S$59="нет","без дифференциации",IF($V$59=0,"",$V$59))</f>
        <v>без дифференциации</v>
      </c>
      <c r="AN59" s="1268">
        <f>$I$53</f>
        <v>1</v>
      </c>
      <c r="AO59" s="1268" t="str">
        <f>$I$53&amp;"."&amp;$M$59</f>
        <v>1.3</v>
      </c>
      <c r="AP59" s="1268" t="str">
        <f>$I$53&amp;"."&amp;$M$59&amp;"."&amp;$Q$59</f>
        <v>1.3.1</v>
      </c>
      <c r="AQ59" s="1268" t="str">
        <f>$I$53&amp;"."&amp;$M$59&amp;"."&amp;$Q$59&amp;"."&amp;$U$59</f>
        <v>1.3.1.1</v>
      </c>
      <c r="AR59" s="1854"/>
    </row>
    <row customHeight="1" ht="17.25">
      <c r="A60" s="1841"/>
      <c r="B60" s="1854"/>
      <c r="C60" s="1846"/>
      <c r="D60" s="1831"/>
      <c r="E60" s="1848"/>
      <c r="F60" s="1785"/>
      <c r="G60" s="1849"/>
      <c r="H60" s="1831"/>
      <c r="I60" s="1831"/>
      <c r="J60" s="1850"/>
      <c r="K60" s="1761"/>
      <c r="L60" s="2109"/>
      <c r="M60" s="2109"/>
      <c r="N60" s="2505"/>
      <c r="O60" s="2187"/>
      <c r="P60" s="2109"/>
      <c r="Q60" s="2109"/>
      <c r="R60" s="2503"/>
      <c r="S60" s="2108"/>
      <c r="T60" s="318"/>
      <c r="U60" s="319"/>
      <c r="V60" s="319" t="s">
        <v>218</v>
      </c>
      <c r="W60" s="320"/>
      <c r="X60" s="1854"/>
      <c r="Y60" s="1260"/>
      <c r="Z60" s="1260"/>
      <c r="AA60" s="1260"/>
      <c r="AB60" s="1260"/>
      <c r="AC60" s="1260"/>
      <c r="AD60" s="1260"/>
      <c r="AE60" s="1260"/>
      <c r="AF60" s="1260"/>
      <c r="AG60" s="1260"/>
      <c r="AH60" s="1260"/>
      <c r="AI60" s="1260"/>
      <c r="AJ60" s="1260"/>
      <c r="AK60" s="1260"/>
      <c r="AL60" s="1854"/>
      <c r="AM60" s="1854"/>
      <c r="AN60" s="1854"/>
      <c r="AO60" s="1854"/>
      <c r="AP60" s="1854"/>
      <c r="AQ60" s="1854"/>
      <c r="AR60" s="1854"/>
    </row>
    <row customHeight="1" ht="17.25">
      <c r="A61" s="1841"/>
      <c r="B61" s="1854"/>
      <c r="C61" s="1846"/>
      <c r="D61" s="1831"/>
      <c r="E61" s="1848"/>
      <c r="F61" s="1785"/>
      <c r="G61" s="1849"/>
      <c r="H61" s="1831"/>
      <c r="I61" s="1831"/>
      <c r="J61" s="1850"/>
      <c r="K61" s="1761"/>
      <c r="L61" s="2504"/>
      <c r="M61" s="2504"/>
      <c r="N61" s="2506"/>
      <c r="O61" s="2113"/>
      <c r="P61" s="318"/>
      <c r="Q61" s="319"/>
      <c r="R61" s="319" t="s">
        <v>219</v>
      </c>
      <c r="S61" s="1847"/>
      <c r="T61" s="1847"/>
      <c r="U61" s="1847"/>
      <c r="V61" s="1847"/>
      <c r="W61" s="320"/>
      <c r="X61" s="1854"/>
      <c r="Y61" s="1260"/>
      <c r="Z61" s="1260"/>
      <c r="AA61" s="1260"/>
      <c r="AB61" s="1260"/>
      <c r="AC61" s="1260"/>
      <c r="AD61" s="1260"/>
      <c r="AE61" s="1260"/>
      <c r="AF61" s="1260"/>
      <c r="AG61" s="1260"/>
      <c r="AH61" s="1260"/>
      <c r="AI61" s="1260"/>
      <c r="AJ61" s="1260"/>
      <c r="AK61" s="1260"/>
      <c r="AL61" s="1854"/>
      <c r="AM61" s="1854"/>
      <c r="AN61" s="1854"/>
      <c r="AO61" s="1854"/>
      <c r="AP61" s="1854"/>
      <c r="AQ61" s="1854"/>
      <c r="AR61" s="1854"/>
    </row>
    <row s="1854" customFormat="1" customHeight="1" ht="17.25">
      <c r="A62" s="322"/>
      <c r="C62" s="210"/>
      <c r="D62" s="2137"/>
      <c r="E62" s="2145"/>
      <c r="F62" s="2147"/>
      <c r="G62" s="2636"/>
      <c r="H62" s="2504"/>
      <c r="I62" s="2504"/>
      <c r="J62" s="2534"/>
      <c r="K62" s="2113"/>
      <c r="L62" s="2646"/>
      <c r="M62" s="2647"/>
      <c r="N62" s="2648" t="s">
        <v>227</v>
      </c>
      <c r="O62" s="2649"/>
      <c r="P62" s="2650"/>
      <c r="Q62" s="2651"/>
      <c r="R62" s="2652"/>
      <c r="S62" s="2653"/>
      <c r="T62" s="2654"/>
      <c r="U62" s="2655"/>
      <c r="V62" s="2656"/>
      <c r="W62" s="2657"/>
      <c r="Y62" s="1268"/>
      <c r="Z62" s="1268"/>
      <c r="AA62" s="1268"/>
      <c r="AB62" s="1268"/>
      <c r="AC62" s="1268"/>
      <c r="AD62" s="1268"/>
      <c r="AE62" s="1268"/>
      <c r="AF62" s="1268"/>
      <c r="AG62" s="1268"/>
      <c r="AH62" s="1268"/>
      <c r="AI62" s="1268"/>
      <c r="AJ62" s="1268"/>
      <c r="AK62" s="1268"/>
      <c r="AL62" s="1268"/>
      <c r="AM62" s="1268"/>
      <c r="AN62" s="1268"/>
      <c r="AO62" s="1268"/>
      <c r="AP62" s="1268"/>
      <c r="AQ62" s="1268"/>
      <c r="AR62" s="1327">
        <v>0</v>
      </c>
    </row>
    <row customHeight="1" ht="21">
      <c r="A63" s="1841"/>
      <c r="B63" s="1854"/>
      <c r="C63" s="1843"/>
      <c r="D63" s="1831"/>
      <c r="E63" s="1848"/>
      <c r="F63" s="1785"/>
      <c r="G63" s="1849"/>
      <c r="H63" s="2530" t="s">
        <v>108</v>
      </c>
      <c r="I63" s="2530" t="s">
        <v>107</v>
      </c>
      <c r="J63" s="2502" t="s">
        <v>228</v>
      </c>
      <c r="K63" s="2186" t="s">
        <v>64</v>
      </c>
      <c r="L63" s="2109"/>
      <c r="M63" s="2109" t="s">
        <v>124</v>
      </c>
      <c r="N63" s="2505" t="str">
        <f>IF(Z63="","",INDEX(TERRITORY_MR_LIST,MATCH(Z63,TERRITORY_LIST_ID,0)))</f>
        <v>Территория 2</v>
      </c>
      <c r="O63" s="2186" t="s">
        <v>64</v>
      </c>
      <c r="P63" s="2109"/>
      <c r="Q63" s="2109" t="s">
        <v>124</v>
      </c>
      <c r="R63" s="2503" t="s">
        <v>111</v>
      </c>
      <c r="S63" s="2108" t="s">
        <v>19</v>
      </c>
      <c r="T63" s="1812"/>
      <c r="U63" s="1812" t="s">
        <v>124</v>
      </c>
      <c r="V63" s="2645" t="s">
        <v>28</v>
      </c>
      <c r="W63" s="1802"/>
      <c r="X63" s="1854"/>
      <c r="Y63" s="1268"/>
      <c r="Z63" s="1268" t="s">
        <v>109</v>
      </c>
      <c r="AA63" s="1268"/>
      <c r="AB63" s="1268"/>
      <c r="AC63" s="1975" t="s">
        <v>213</v>
      </c>
      <c r="AD63" s="1268" t="s">
        <v>229</v>
      </c>
      <c r="AE63" s="1268" t="s">
        <v>230</v>
      </c>
      <c r="AF63" s="1268" t="s">
        <v>231</v>
      </c>
      <c r="AG63" s="1268" t="s">
        <v>232</v>
      </c>
      <c r="AH63" s="1268" t="str">
        <f>IF($E$53=0,"",$E$53)</f>
        <v>Плата за подключение (технологическое присоединение) к системе теплоснабжения</v>
      </c>
      <c r="AI63" s="1268" t="str">
        <f>IF($G$53=0,"",$G$53)</f>
        <v>Подключение (технологическое присоединение) к системе теплоснабжения</v>
      </c>
      <c r="AJ63" s="1268" t="str">
        <f>IF($J$63=0,"",$J$63)</f>
        <v>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 в расчете на единицу мощности подключаемой нагрузки. Подземная бесканальная прокладка до 250 мм</v>
      </c>
      <c r="AK63" s="1268" t="str">
        <f>IF($K$63="нет","без дифференциации",IF($N$63=0,"",$N$63))</f>
        <v>Территория 2</v>
      </c>
      <c r="AL63" s="1845" t="str">
        <f>IF($O$63="нет","без дифференциации",IF($R$63=0,"",$R$63))</f>
        <v>Хасанский муниципальный округ</v>
      </c>
      <c r="AM63" s="1845" t="str">
        <f>IF($S$63="нет","без дифференциации",IF($V$63=0,"",$V$63))</f>
        <v>без дифференциации</v>
      </c>
      <c r="AN63" s="1268" t="str">
        <f>$I$63</f>
        <v>2</v>
      </c>
      <c r="AO63" s="1268" t="str">
        <f>$I$63&amp;"."&amp;$M$63</f>
        <v>2.1</v>
      </c>
      <c r="AP63" s="1268" t="str">
        <f>$I$63&amp;"."&amp;$M$63&amp;"."&amp;$Q$63</f>
        <v>2.1.1</v>
      </c>
      <c r="AQ63" s="1268" t="str">
        <f>$I$63&amp;"."&amp;$M$63&amp;"."&amp;$Q$63&amp;"."&amp;$U$63</f>
        <v>2.1.1.1</v>
      </c>
      <c r="AR63" s="1854"/>
    </row>
    <row customHeight="1" ht="21">
      <c r="A64" s="1841"/>
      <c r="B64" s="1854"/>
      <c r="C64" s="1846"/>
      <c r="D64" s="1831"/>
      <c r="E64" s="1848"/>
      <c r="F64" s="1785"/>
      <c r="G64" s="1849"/>
      <c r="H64" s="2530"/>
      <c r="I64" s="2530"/>
      <c r="J64" s="2502"/>
      <c r="K64" s="2187"/>
      <c r="L64" s="2109"/>
      <c r="M64" s="2109"/>
      <c r="N64" s="2505"/>
      <c r="O64" s="2187"/>
      <c r="P64" s="2109"/>
      <c r="Q64" s="2109"/>
      <c r="R64" s="2503"/>
      <c r="S64" s="2108"/>
      <c r="T64" s="318"/>
      <c r="U64" s="319"/>
      <c r="V64" s="319" t="s">
        <v>218</v>
      </c>
      <c r="W64" s="320"/>
      <c r="X64" s="1854"/>
      <c r="Y64" s="1260"/>
      <c r="Z64" s="1260"/>
      <c r="AA64" s="1260"/>
      <c r="AB64" s="1260"/>
      <c r="AC64" s="1260"/>
      <c r="AD64" s="1260"/>
      <c r="AE64" s="1260"/>
      <c r="AF64" s="1260"/>
      <c r="AG64" s="1260"/>
      <c r="AH64" s="1260"/>
      <c r="AI64" s="1260"/>
      <c r="AJ64" s="1260"/>
      <c r="AK64" s="1260"/>
      <c r="AL64" s="1854"/>
      <c r="AM64" s="1854"/>
      <c r="AN64" s="1854"/>
      <c r="AO64" s="1854"/>
      <c r="AP64" s="1854"/>
      <c r="AQ64" s="1854"/>
      <c r="AR64" s="1854"/>
    </row>
    <row customHeight="1" ht="21">
      <c r="A65" s="1841"/>
      <c r="B65" s="1854"/>
      <c r="C65" s="1846"/>
      <c r="D65" s="1831"/>
      <c r="E65" s="1848"/>
      <c r="F65" s="1785"/>
      <c r="G65" s="1849"/>
      <c r="H65" s="2504"/>
      <c r="I65" s="2504"/>
      <c r="J65" s="2534"/>
      <c r="K65" s="2187"/>
      <c r="L65" s="2504"/>
      <c r="M65" s="2504"/>
      <c r="N65" s="2506"/>
      <c r="O65" s="2113"/>
      <c r="P65" s="318"/>
      <c r="Q65" s="319"/>
      <c r="R65" s="319" t="s">
        <v>219</v>
      </c>
      <c r="S65" s="1847"/>
      <c r="T65" s="1847"/>
      <c r="U65" s="1847"/>
      <c r="V65" s="1847"/>
      <c r="W65" s="320"/>
      <c r="X65" s="1854"/>
      <c r="Y65" s="1260"/>
      <c r="Z65" s="1260"/>
      <c r="AA65" s="1260"/>
      <c r="AB65" s="1260"/>
      <c r="AC65" s="1260"/>
      <c r="AD65" s="1260"/>
      <c r="AE65" s="1260"/>
      <c r="AF65" s="1260"/>
      <c r="AG65" s="1260"/>
      <c r="AH65" s="1260"/>
      <c r="AI65" s="1260"/>
      <c r="AJ65" s="1260"/>
      <c r="AK65" s="1260"/>
      <c r="AL65" s="1854"/>
      <c r="AM65" s="1854"/>
      <c r="AN65" s="1854"/>
      <c r="AO65" s="1854"/>
      <c r="AP65" s="1854"/>
      <c r="AQ65" s="1854"/>
      <c r="AR65" s="1854"/>
    </row>
    <row customHeight="1" ht="17.25">
      <c r="A66" s="1841"/>
      <c r="B66" s="1854"/>
      <c r="C66" s="1843"/>
      <c r="D66" s="1831"/>
      <c r="E66" s="1848"/>
      <c r="F66" s="1785"/>
      <c r="G66" s="1849"/>
      <c r="H66" s="1831"/>
      <c r="I66" s="1831"/>
      <c r="J66" s="1850"/>
      <c r="K66" s="1761"/>
      <c r="L66" s="2109" t="s">
        <v>108</v>
      </c>
      <c r="M66" s="2109" t="s">
        <v>107</v>
      </c>
      <c r="N66" s="2505" t="str">
        <f>IF(Z66="","",INDEX(TERRITORY_MR_LIST,MATCH(Z66,TERRITORY_LIST_ID,0)))</f>
        <v>Территория 3</v>
      </c>
      <c r="O66" s="2186" t="s">
        <v>64</v>
      </c>
      <c r="P66" s="2109"/>
      <c r="Q66" s="2109" t="s">
        <v>124</v>
      </c>
      <c r="R66" s="2503" t="s">
        <v>223</v>
      </c>
      <c r="S66" s="2108" t="s">
        <v>19</v>
      </c>
      <c r="T66" s="1812"/>
      <c r="U66" s="1812" t="s">
        <v>124</v>
      </c>
      <c r="V66" s="2852" t="s">
        <v>28</v>
      </c>
      <c r="W66" s="1802"/>
      <c r="X66" s="1854"/>
      <c r="Y66" s="1268"/>
      <c r="Z66" s="1268" t="s">
        <v>113</v>
      </c>
      <c r="AA66" s="1268"/>
      <c r="AB66" s="1268"/>
      <c r="AC66" s="1975" t="s">
        <v>213</v>
      </c>
      <c r="AD66" s="1975" t="s">
        <v>229</v>
      </c>
      <c r="AE66" s="1268" t="s">
        <v>233</v>
      </c>
      <c r="AF66" s="1268" t="s">
        <v>234</v>
      </c>
      <c r="AG66" s="1268" t="s">
        <v>235</v>
      </c>
      <c r="AH66" s="1268" t="str">
        <f>IF($E$53=0,"",$E$53)</f>
        <v>Плата за подключение (технологическое присоединение) к системе теплоснабжения</v>
      </c>
      <c r="AI66" s="1268" t="str">
        <f>IF($G$53=0,"",$G$53)</f>
        <v>Подключение (технологическое присоединение) к системе теплоснабжения</v>
      </c>
      <c r="AJ66" s="1268" t="str">
        <f>IF($J$63=0,"",$J$63)</f>
        <v>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 в расчете на единицу мощности подключаемой нагрузки. Подземная бесканальная прокладка до 250 мм</v>
      </c>
      <c r="AK66" s="1268" t="str">
        <f>IF($K$66="нет","без дифференциации",IF($N$66=0,"",$N$66))</f>
        <v>Территория 3</v>
      </c>
      <c r="AL66" s="1845" t="str">
        <f>IF($O$66="нет","без дифференциации",IF($R$66=0,"",$R$66))</f>
        <v>Рощинское сельское поселение с. Рощино</v>
      </c>
      <c r="AM66" s="1845" t="str">
        <f>IF($S$66="нет","без дифференциации",IF($V$66=0,"",$V$66))</f>
        <v>без дифференциации</v>
      </c>
      <c r="AN66" s="1268" t="str">
        <f>$I$63</f>
        <v>2</v>
      </c>
      <c r="AO66" s="1268" t="str">
        <f>$I$63&amp;"."&amp;$M$66</f>
        <v>2.2</v>
      </c>
      <c r="AP66" s="1268" t="str">
        <f>$I$63&amp;"."&amp;$M$66&amp;"."&amp;$Q$66</f>
        <v>2.2.1</v>
      </c>
      <c r="AQ66" s="1268" t="str">
        <f>$I$63&amp;"."&amp;$M$66&amp;"."&amp;$Q$66&amp;"."&amp;$U$66</f>
        <v>2.2.1.1</v>
      </c>
      <c r="AR66" s="1854"/>
    </row>
    <row customHeight="1" ht="17.25">
      <c r="A67" s="1841"/>
      <c r="B67" s="1854"/>
      <c r="C67" s="1846"/>
      <c r="D67" s="1831"/>
      <c r="E67" s="1848"/>
      <c r="F67" s="1785"/>
      <c r="G67" s="1849"/>
      <c r="H67" s="1831"/>
      <c r="I67" s="1831"/>
      <c r="J67" s="1850"/>
      <c r="K67" s="1761"/>
      <c r="L67" s="2109"/>
      <c r="M67" s="2109"/>
      <c r="N67" s="2505"/>
      <c r="O67" s="2187"/>
      <c r="P67" s="2109"/>
      <c r="Q67" s="2109"/>
      <c r="R67" s="2503"/>
      <c r="S67" s="2108"/>
      <c r="T67" s="318"/>
      <c r="U67" s="319"/>
      <c r="V67" s="319" t="s">
        <v>218</v>
      </c>
      <c r="W67" s="320"/>
      <c r="X67" s="1854"/>
      <c r="Y67" s="1260"/>
      <c r="Z67" s="1260"/>
      <c r="AA67" s="1260"/>
      <c r="AB67" s="1260"/>
      <c r="AC67" s="1260"/>
      <c r="AD67" s="1260"/>
      <c r="AE67" s="1260"/>
      <c r="AF67" s="1260"/>
      <c r="AG67" s="1260"/>
      <c r="AH67" s="1260"/>
      <c r="AI67" s="1260"/>
      <c r="AJ67" s="1260"/>
      <c r="AK67" s="1260"/>
      <c r="AL67" s="1854"/>
      <c r="AM67" s="1854"/>
      <c r="AN67" s="1854"/>
      <c r="AO67" s="1854"/>
      <c r="AP67" s="1854"/>
      <c r="AQ67" s="1854"/>
      <c r="AR67" s="1854"/>
    </row>
    <row customHeight="1" ht="17.25">
      <c r="A68" s="1841"/>
      <c r="B68" s="1854"/>
      <c r="C68" s="1846"/>
      <c r="D68" s="1831"/>
      <c r="E68" s="1848"/>
      <c r="F68" s="1785"/>
      <c r="G68" s="1849"/>
      <c r="H68" s="1831"/>
      <c r="I68" s="1831"/>
      <c r="J68" s="1850"/>
      <c r="K68" s="1761"/>
      <c r="L68" s="2504"/>
      <c r="M68" s="2504"/>
      <c r="N68" s="2506"/>
      <c r="O68" s="2113"/>
      <c r="P68" s="318"/>
      <c r="Q68" s="319"/>
      <c r="R68" s="319" t="s">
        <v>219</v>
      </c>
      <c r="S68" s="1847"/>
      <c r="T68" s="1847"/>
      <c r="U68" s="1847"/>
      <c r="V68" s="1847"/>
      <c r="W68" s="320"/>
      <c r="X68" s="1854"/>
      <c r="Y68" s="1260"/>
      <c r="Z68" s="1260"/>
      <c r="AA68" s="1260"/>
      <c r="AB68" s="1260"/>
      <c r="AC68" s="1260"/>
      <c r="AD68" s="1260"/>
      <c r="AE68" s="1260"/>
      <c r="AF68" s="1260"/>
      <c r="AG68" s="1260"/>
      <c r="AH68" s="1260"/>
      <c r="AI68" s="1260"/>
      <c r="AJ68" s="1260"/>
      <c r="AK68" s="1260"/>
      <c r="AL68" s="1854"/>
      <c r="AM68" s="1854"/>
      <c r="AN68" s="1854"/>
      <c r="AO68" s="1854"/>
      <c r="AP68" s="1854"/>
      <c r="AQ68" s="1854"/>
      <c r="AR68" s="1854"/>
    </row>
    <row customHeight="1" ht="21">
      <c r="A69" s="1841"/>
      <c r="B69" s="1854"/>
      <c r="C69" s="1846"/>
      <c r="D69" s="1831"/>
      <c r="E69" s="1848"/>
      <c r="F69" s="1785"/>
      <c r="G69" s="1849"/>
      <c r="H69" s="2504"/>
      <c r="I69" s="2504"/>
      <c r="J69" s="2534"/>
      <c r="K69" s="2113"/>
      <c r="L69" s="318"/>
      <c r="M69" s="319"/>
      <c r="N69" s="319" t="s">
        <v>227</v>
      </c>
      <c r="O69" s="319"/>
      <c r="P69" s="319"/>
      <c r="Q69" s="319"/>
      <c r="R69" s="319"/>
      <c r="S69" s="1847"/>
      <c r="T69" s="1847"/>
      <c r="U69" s="1847"/>
      <c r="V69" s="1847"/>
      <c r="W69" s="320"/>
      <c r="X69" s="1854"/>
      <c r="Y69" s="1260"/>
      <c r="Z69" s="1260"/>
      <c r="AA69" s="1260"/>
      <c r="AB69" s="1260"/>
      <c r="AC69" s="1260"/>
      <c r="AD69" s="1260"/>
      <c r="AE69" s="1260"/>
      <c r="AF69" s="1260"/>
      <c r="AG69" s="1260"/>
      <c r="AH69" s="1260"/>
      <c r="AI69" s="1260"/>
      <c r="AJ69" s="1260"/>
      <c r="AK69" s="1260"/>
      <c r="AL69" s="1854"/>
      <c r="AM69" s="1854"/>
      <c r="AN69" s="1854"/>
      <c r="AO69" s="1854"/>
      <c r="AP69" s="1854"/>
      <c r="AQ69" s="1854"/>
      <c r="AR69" s="1854"/>
    </row>
    <row s="1854" customFormat="1" customHeight="1" ht="17.25">
      <c r="A70" s="322"/>
      <c r="C70" s="321"/>
      <c r="D70" s="2137"/>
      <c r="E70" s="2145"/>
      <c r="F70" s="2148"/>
      <c r="G70" s="2636"/>
      <c r="H70" s="2658"/>
      <c r="I70" s="2659"/>
      <c r="J70" s="2660" t="s">
        <v>236</v>
      </c>
      <c r="K70" s="2661"/>
      <c r="L70" s="2662"/>
      <c r="M70" s="2663"/>
      <c r="N70" s="2664"/>
      <c r="O70" s="2665"/>
      <c r="P70" s="2666"/>
      <c r="Q70" s="2667"/>
      <c r="R70" s="2668"/>
      <c r="S70" s="2669"/>
      <c r="T70" s="2670"/>
      <c r="U70" s="2671"/>
      <c r="V70" s="2672"/>
      <c r="W70" s="2673"/>
      <c r="X70" s="1260"/>
      <c r="Y70" s="1260"/>
      <c r="Z70" s="1260"/>
      <c r="AA70" s="1260"/>
      <c r="AB70" s="1260"/>
      <c r="AC70" s="1260"/>
      <c r="AD70" s="1260"/>
      <c r="AE70" s="1260"/>
      <c r="AF70" s="1260"/>
      <c r="AG70" s="1260"/>
      <c r="AH70" s="1260"/>
      <c r="AI70" s="1260"/>
      <c r="AJ70" s="1260"/>
      <c r="AK70" s="1260"/>
      <c r="AL70" s="1260"/>
      <c r="AM70" s="1260"/>
      <c r="AN70" s="1260"/>
      <c r="AO70" s="1260"/>
      <c r="AP70" s="1260"/>
      <c r="AQ70" s="1260"/>
      <c r="AR70" s="1309">
        <v>0</v>
      </c>
    </row>
    <row s="1854" customFormat="1" customHeight="1" ht="17.25">
      <c r="A71" s="322"/>
      <c r="C71" s="210"/>
      <c r="D71" s="2136">
        <v>9</v>
      </c>
      <c r="E71" s="2144" t="s">
        <v>237</v>
      </c>
      <c r="F71" s="2146" t="s">
        <v>19</v>
      </c>
      <c r="G71" s="2144"/>
      <c r="H71" s="2149"/>
      <c r="I71" s="2151"/>
      <c r="J71" s="2153"/>
      <c r="K71" s="2138"/>
      <c r="L71" s="2138"/>
      <c r="M71" s="2138"/>
      <c r="N71" s="2140"/>
      <c r="O71" s="2138"/>
      <c r="P71" s="2138"/>
      <c r="Q71" s="2138"/>
      <c r="R71" s="2143"/>
      <c r="S71" s="2138"/>
      <c r="T71" s="1932"/>
      <c r="U71" s="1932"/>
      <c r="V71" s="1934"/>
      <c r="W71" s="1297"/>
      <c r="X71" s="1268"/>
      <c r="Y71" s="1268"/>
      <c r="Z71" s="1268"/>
      <c r="AA71" s="1268"/>
      <c r="AB71" s="1268"/>
      <c r="AC71" s="1268" t="s">
        <v>238</v>
      </c>
      <c r="AD71" s="1268" t="s">
        <v>239</v>
      </c>
      <c r="AE71" s="1268" t="s">
        <v>240</v>
      </c>
      <c r="AF71" s="1268" t="s">
        <v>241</v>
      </c>
      <c r="AG71" s="1268" t="s">
        <v>242</v>
      </c>
      <c r="AH71" s="1268" t="str">
        <f>IF($E$71=0,"",$E$71)</f>
        <v>Плата за подключение (технологическое присоединение) к системе теплоснабжения (индивидуальная)</v>
      </c>
      <c r="AI71" s="1268" t="str">
        <f>IF($G$71=0,"",$G$71)</f>
        <v/>
      </c>
      <c r="AJ71" s="1268" t="str">
        <f>IF($J$71=0,"",$J$71)</f>
        <v/>
      </c>
      <c r="AK71" s="1268" t="str">
        <f>IF($K$71="нет","без дифференциации",IF($N$71=0,"",$N$71))</f>
        <v/>
      </c>
      <c r="AL71" s="1268" t="str">
        <f>IF($O$71="нет","без дифференциации",IF($R$71=0,"",$R$71))</f>
        <v/>
      </c>
      <c r="AM71" s="1268" t="str">
        <f>IF($S$71="нет","без дифференциации",IF($V$71=0,"",$V$71))</f>
        <v/>
      </c>
      <c r="AN71" s="1773">
        <f>$I$71</f>
        <v>0</v>
      </c>
      <c r="AO71" s="1268" t="str">
        <f>$I$71&amp;"."&amp;$M$71</f>
        <v>.</v>
      </c>
      <c r="AP71" s="1267" t="str">
        <f>$I$71&amp;"."&amp;$M$71&amp;"."&amp;$Q$71</f>
        <v>..</v>
      </c>
      <c r="AQ71" s="1267" t="str">
        <f>$I$71&amp;"."&amp;$M$71&amp;"."&amp;$Q$71&amp;"."&amp;$U$71</f>
        <v>...</v>
      </c>
      <c r="AR71" s="1468">
        <v>0</v>
      </c>
    </row>
    <row s="1854" customFormat="1" customHeight="1" ht="17.25">
      <c r="A72" s="322"/>
      <c r="C72" s="321"/>
      <c r="D72" s="2136"/>
      <c r="E72" s="2144"/>
      <c r="F72" s="2147"/>
      <c r="G72" s="2144"/>
      <c r="H72" s="2150"/>
      <c r="I72" s="2152"/>
      <c r="J72" s="2154"/>
      <c r="K72" s="2139"/>
      <c r="L72" s="2139"/>
      <c r="M72" s="2139"/>
      <c r="N72" s="2141"/>
      <c r="O72" s="2139"/>
      <c r="P72" s="2139"/>
      <c r="Q72" s="2139"/>
      <c r="R72" s="2142"/>
      <c r="S72" s="2139"/>
      <c r="T72" s="1935"/>
      <c r="U72" s="1935"/>
      <c r="V72" s="1935"/>
      <c r="W72" s="1936"/>
      <c r="X72" s="1267"/>
      <c r="Y72" s="1267"/>
      <c r="Z72" s="1267"/>
      <c r="AA72" s="1267"/>
      <c r="AB72" s="1267"/>
      <c r="AC72" s="1267"/>
      <c r="AD72" s="1267"/>
      <c r="AE72" s="1267"/>
      <c r="AF72" s="1267"/>
      <c r="AG72" s="1267"/>
      <c r="AH72" s="1267"/>
      <c r="AI72" s="1267"/>
      <c r="AJ72" s="1267"/>
      <c r="AK72" s="1267"/>
      <c r="AL72" s="1267"/>
      <c r="AM72" s="1267"/>
      <c r="AN72" s="1267"/>
      <c r="AO72" s="1267"/>
      <c r="AP72" s="1267"/>
      <c r="AQ72" s="1267"/>
      <c r="AR72" s="1468">
        <v>0</v>
      </c>
    </row>
    <row s="1854" customFormat="1" customHeight="1" ht="17.25">
      <c r="A73" s="322"/>
      <c r="C73" s="321"/>
      <c r="D73" s="2137"/>
      <c r="E73" s="2145"/>
      <c r="F73" s="2147"/>
      <c r="G73" s="2145"/>
      <c r="H73" s="2150"/>
      <c r="I73" s="2152"/>
      <c r="J73" s="2155"/>
      <c r="K73" s="2139"/>
      <c r="L73" s="2139"/>
      <c r="M73" s="2139"/>
      <c r="N73" s="2142"/>
      <c r="O73" s="2139"/>
      <c r="P73" s="1933"/>
      <c r="Q73" s="1935"/>
      <c r="R73" s="1935"/>
      <c r="S73" s="330"/>
      <c r="T73" s="330"/>
      <c r="U73" s="330"/>
      <c r="V73" s="330"/>
      <c r="W73" s="1936"/>
      <c r="X73" s="1267"/>
      <c r="Y73" s="1267"/>
      <c r="Z73" s="1267"/>
      <c r="AA73" s="1267"/>
      <c r="AB73" s="1267"/>
      <c r="AC73" s="1267"/>
      <c r="AD73" s="1267"/>
      <c r="AE73" s="1267"/>
      <c r="AF73" s="1267"/>
      <c r="AG73" s="1267"/>
      <c r="AH73" s="1267"/>
      <c r="AI73" s="1267"/>
      <c r="AJ73" s="1267"/>
      <c r="AK73" s="1267"/>
      <c r="AL73" s="1267"/>
      <c r="AM73" s="1267"/>
      <c r="AN73" s="1267"/>
      <c r="AO73" s="1267"/>
      <c r="AP73" s="1267"/>
      <c r="AQ73" s="1267"/>
      <c r="AR73" s="1468">
        <v>0</v>
      </c>
    </row>
    <row s="1854" customFormat="1" customHeight="1" ht="17.25">
      <c r="A74" s="322"/>
      <c r="C74" s="210"/>
      <c r="D74" s="2137"/>
      <c r="E74" s="2145"/>
      <c r="F74" s="2147"/>
      <c r="G74" s="2145"/>
      <c r="H74" s="2150"/>
      <c r="I74" s="2152"/>
      <c r="J74" s="2155"/>
      <c r="K74" s="2139"/>
      <c r="L74" s="1935"/>
      <c r="M74" s="1935"/>
      <c r="N74" s="1935"/>
      <c r="O74" s="1935"/>
      <c r="P74" s="1935"/>
      <c r="Q74" s="1935"/>
      <c r="R74" s="1935"/>
      <c r="S74" s="330"/>
      <c r="T74" s="330"/>
      <c r="U74" s="330"/>
      <c r="V74" s="330"/>
      <c r="W74" s="1936"/>
      <c r="Y74" s="1268"/>
      <c r="Z74" s="1268"/>
      <c r="AA74" s="1268"/>
      <c r="AB74" s="1268"/>
      <c r="AC74" s="1268"/>
      <c r="AD74" s="1268"/>
      <c r="AE74" s="1268"/>
      <c r="AF74" s="1268"/>
      <c r="AG74" s="1268"/>
      <c r="AH74" s="1268"/>
      <c r="AI74" s="1268"/>
      <c r="AJ74" s="1268"/>
      <c r="AK74" s="1268"/>
      <c r="AL74" s="1268"/>
      <c r="AM74" s="1268"/>
      <c r="AN74" s="1268"/>
      <c r="AO74" s="1268"/>
      <c r="AP74" s="1268"/>
      <c r="AQ74" s="1268"/>
      <c r="AR74" s="1468">
        <v>0</v>
      </c>
    </row>
    <row s="1854" customFormat="1" customHeight="1" ht="17.25">
      <c r="A75" s="322"/>
      <c r="C75" s="321"/>
      <c r="D75" s="2137"/>
      <c r="E75" s="2145"/>
      <c r="F75" s="2148"/>
      <c r="G75" s="2145"/>
      <c r="H75" s="1300"/>
      <c r="I75" s="1937"/>
      <c r="J75" s="1937"/>
      <c r="K75" s="1937"/>
      <c r="L75" s="1937"/>
      <c r="M75" s="1937"/>
      <c r="N75" s="1937"/>
      <c r="O75" s="1937"/>
      <c r="P75" s="1937"/>
      <c r="Q75" s="1937"/>
      <c r="R75" s="1937"/>
      <c r="S75" s="1302"/>
      <c r="T75" s="1302"/>
      <c r="U75" s="1302"/>
      <c r="V75" s="1302"/>
      <c r="W75" s="1938"/>
      <c r="X75" s="1267"/>
      <c r="Y75" s="1267"/>
      <c r="Z75" s="1267"/>
      <c r="AA75" s="1267"/>
      <c r="AB75" s="1267"/>
      <c r="AC75" s="1267"/>
      <c r="AD75" s="1267"/>
      <c r="AE75" s="1267"/>
      <c r="AF75" s="1267"/>
      <c r="AG75" s="1267"/>
      <c r="AH75" s="1267"/>
      <c r="AI75" s="1267"/>
      <c r="AJ75" s="1267"/>
      <c r="AK75" s="1267"/>
      <c r="AL75" s="1267"/>
      <c r="AM75" s="1267"/>
      <c r="AN75" s="1267"/>
      <c r="AO75" s="1267"/>
      <c r="AP75" s="1267"/>
      <c r="AQ75" s="1267"/>
      <c r="AR75" s="1468">
        <v>0</v>
      </c>
    </row>
    <row s="1854" customFormat="1" customHeight="1" ht="17.25" hidden="1">
      <c r="A76" s="322"/>
      <c r="C76" s="210"/>
      <c r="D76" s="2136">
        <v>10</v>
      </c>
      <c r="E76" s="2144" t="s">
        <v>243</v>
      </c>
      <c r="F76" s="2146" t="s">
        <v>19</v>
      </c>
      <c r="G76" s="2144"/>
      <c r="H76" s="2149"/>
      <c r="I76" s="2151"/>
      <c r="J76" s="2153"/>
      <c r="K76" s="2138"/>
      <c r="L76" s="2138"/>
      <c r="M76" s="2138"/>
      <c r="N76" s="2140"/>
      <c r="O76" s="2138"/>
      <c r="P76" s="2138"/>
      <c r="Q76" s="2138"/>
      <c r="R76" s="2143"/>
      <c r="S76" s="2138"/>
      <c r="T76" s="1932"/>
      <c r="U76" s="1932"/>
      <c r="V76" s="1934"/>
      <c r="W76" s="1297"/>
      <c r="X76" s="1268"/>
      <c r="Y76" s="1268"/>
      <c r="Z76" s="1268"/>
      <c r="AA76" s="1268"/>
      <c r="AB76" s="1268"/>
      <c r="AC76" s="1268" t="s">
        <v>244</v>
      </c>
      <c r="AD76" s="1268" t="s">
        <v>245</v>
      </c>
      <c r="AE76" s="1268" t="s">
        <v>246</v>
      </c>
      <c r="AF76" s="1268" t="s">
        <v>247</v>
      </c>
      <c r="AG76" s="1268" t="s">
        <v>248</v>
      </c>
      <c r="AH76" s="1268" t="str">
        <f>IF($E$76=0,"",$E$76)</f>
        <v>Предельный уровень цены на тепловую энергию (мощность), поставляемую теплоснабжающими организациями потребителям</v>
      </c>
      <c r="AI76" s="1268" t="str">
        <f>IF($G$76=0,"",$G$76)</f>
        <v/>
      </c>
      <c r="AJ76" s="1268" t="str">
        <f>IF($J$76=0,"",$J$76)</f>
        <v/>
      </c>
      <c r="AK76" s="1268" t="str">
        <f>IF($K$76="нет","без дифференциации",IF($N$76=0,"",$N$76))</f>
        <v/>
      </c>
      <c r="AL76" s="1268" t="str">
        <f>IF($O$76="нет","без дифференциации",IF($R$76=0,"",$R$76))</f>
        <v/>
      </c>
      <c r="AM76" s="1268" t="str">
        <f>IF($S$76="нет","без дифференциации",IF($V$76=0,"",$V$76))</f>
        <v/>
      </c>
      <c r="AN76" s="1773">
        <f>$I$76</f>
        <v>0</v>
      </c>
      <c r="AO76" s="1268" t="str">
        <f>$I$76&amp;"."&amp;$M$76</f>
        <v>.</v>
      </c>
      <c r="AP76" s="1267" t="str">
        <f>$I$76&amp;"."&amp;$M$76&amp;"."&amp;$Q$76</f>
        <v>..</v>
      </c>
      <c r="AQ76" s="1267" t="str">
        <f>$I$76&amp;"."&amp;$M$76&amp;"."&amp;$Q$76&amp;"."&amp;$U$76</f>
        <v>...</v>
      </c>
      <c r="AR76" s="1468">
        <v>0</v>
      </c>
    </row>
    <row s="1854" customFormat="1" customHeight="1" ht="17.25" hidden="1">
      <c r="A77" s="322"/>
      <c r="C77" s="321"/>
      <c r="D77" s="2136"/>
      <c r="E77" s="2144"/>
      <c r="F77" s="2147"/>
      <c r="G77" s="2144"/>
      <c r="H77" s="2150"/>
      <c r="I77" s="2152"/>
      <c r="J77" s="2154"/>
      <c r="K77" s="2139"/>
      <c r="L77" s="2139"/>
      <c r="M77" s="2139"/>
      <c r="N77" s="2141"/>
      <c r="O77" s="2139"/>
      <c r="P77" s="2139"/>
      <c r="Q77" s="2139"/>
      <c r="R77" s="2142"/>
      <c r="S77" s="2139"/>
      <c r="T77" s="1935"/>
      <c r="U77" s="1935"/>
      <c r="V77" s="1935"/>
      <c r="W77" s="1936"/>
      <c r="X77" s="1267"/>
      <c r="Y77" s="1267"/>
      <c r="Z77" s="1267"/>
      <c r="AA77" s="1267"/>
      <c r="AB77" s="1267"/>
      <c r="AC77" s="1267"/>
      <c r="AD77" s="1267"/>
      <c r="AE77" s="1267"/>
      <c r="AF77" s="1267"/>
      <c r="AG77" s="1267"/>
      <c r="AH77" s="1267"/>
      <c r="AI77" s="1267"/>
      <c r="AJ77" s="1267"/>
      <c r="AK77" s="1267"/>
      <c r="AL77" s="1267"/>
      <c r="AM77" s="1267"/>
      <c r="AN77" s="1267"/>
      <c r="AO77" s="1267"/>
      <c r="AP77" s="1267"/>
      <c r="AQ77" s="1267"/>
      <c r="AR77" s="1468">
        <v>0</v>
      </c>
    </row>
    <row s="1854" customFormat="1" customHeight="1" ht="17.25" hidden="1">
      <c r="A78" s="322"/>
      <c r="C78" s="321"/>
      <c r="D78" s="2137"/>
      <c r="E78" s="2145"/>
      <c r="F78" s="2147"/>
      <c r="G78" s="2145"/>
      <c r="H78" s="2150"/>
      <c r="I78" s="2152"/>
      <c r="J78" s="2155"/>
      <c r="K78" s="2139"/>
      <c r="L78" s="2139"/>
      <c r="M78" s="2139"/>
      <c r="N78" s="2142"/>
      <c r="O78" s="2139"/>
      <c r="P78" s="1933"/>
      <c r="Q78" s="1935"/>
      <c r="R78" s="1935"/>
      <c r="S78" s="330"/>
      <c r="T78" s="330"/>
      <c r="U78" s="330"/>
      <c r="V78" s="330"/>
      <c r="W78" s="1936"/>
      <c r="X78" s="1267"/>
      <c r="Y78" s="1267"/>
      <c r="Z78" s="1267"/>
      <c r="AA78" s="1267"/>
      <c r="AB78" s="1267"/>
      <c r="AC78" s="1267"/>
      <c r="AD78" s="1267"/>
      <c r="AE78" s="1267"/>
      <c r="AF78" s="1267"/>
      <c r="AG78" s="1267"/>
      <c r="AH78" s="1267"/>
      <c r="AI78" s="1267"/>
      <c r="AJ78" s="1267"/>
      <c r="AK78" s="1267"/>
      <c r="AL78" s="1267"/>
      <c r="AM78" s="1267"/>
      <c r="AN78" s="1267"/>
      <c r="AO78" s="1267"/>
      <c r="AP78" s="1267"/>
      <c r="AQ78" s="1267"/>
      <c r="AR78" s="1468">
        <v>0</v>
      </c>
    </row>
    <row s="1854" customFormat="1" customHeight="1" ht="17.25" hidden="1">
      <c r="A79" s="322"/>
      <c r="C79" s="210"/>
      <c r="D79" s="2137"/>
      <c r="E79" s="2145"/>
      <c r="F79" s="2147"/>
      <c r="G79" s="2145"/>
      <c r="H79" s="2150"/>
      <c r="I79" s="2152"/>
      <c r="J79" s="2155"/>
      <c r="K79" s="2139"/>
      <c r="L79" s="1935"/>
      <c r="M79" s="1935"/>
      <c r="N79" s="1935"/>
      <c r="O79" s="1935"/>
      <c r="P79" s="1935"/>
      <c r="Q79" s="1935"/>
      <c r="R79" s="1935"/>
      <c r="S79" s="330"/>
      <c r="T79" s="330"/>
      <c r="U79" s="330"/>
      <c r="V79" s="330"/>
      <c r="W79" s="1936"/>
      <c r="Y79" s="1268"/>
      <c r="Z79" s="1268"/>
      <c r="AA79" s="1268"/>
      <c r="AB79" s="1268"/>
      <c r="AC79" s="1268"/>
      <c r="AD79" s="1268"/>
      <c r="AE79" s="1268"/>
      <c r="AF79" s="1268"/>
      <c r="AG79" s="1268"/>
      <c r="AH79" s="1268"/>
      <c r="AI79" s="1268"/>
      <c r="AJ79" s="1268"/>
      <c r="AK79" s="1268"/>
      <c r="AL79" s="1268"/>
      <c r="AM79" s="1268"/>
      <c r="AN79" s="1268"/>
      <c r="AO79" s="1268"/>
      <c r="AP79" s="1268"/>
      <c r="AQ79" s="1268"/>
      <c r="AR79" s="1468">
        <v>0</v>
      </c>
    </row>
    <row s="1854" customFormat="1" customHeight="1" ht="17.25" hidden="1">
      <c r="A80" s="322"/>
      <c r="C80" s="321"/>
      <c r="D80" s="2137"/>
      <c r="E80" s="2145"/>
      <c r="F80" s="2148"/>
      <c r="G80" s="2145"/>
      <c r="H80" s="1300"/>
      <c r="I80" s="1937"/>
      <c r="J80" s="1937"/>
      <c r="K80" s="1937"/>
      <c r="L80" s="1937"/>
      <c r="M80" s="1937"/>
      <c r="N80" s="1937"/>
      <c r="O80" s="1937"/>
      <c r="P80" s="1937"/>
      <c r="Q80" s="1937"/>
      <c r="R80" s="1937"/>
      <c r="S80" s="1302"/>
      <c r="T80" s="1302"/>
      <c r="U80" s="1302"/>
      <c r="V80" s="1302"/>
      <c r="W80" s="1938"/>
      <c r="X80" s="1267"/>
      <c r="Y80" s="1267"/>
      <c r="Z80" s="1267"/>
      <c r="AA80" s="1267"/>
      <c r="AB80" s="1267"/>
      <c r="AC80" s="1267"/>
      <c r="AD80" s="1267"/>
      <c r="AE80" s="1267"/>
      <c r="AF80" s="1267"/>
      <c r="AG80" s="1267"/>
      <c r="AH80" s="1267"/>
      <c r="AI80" s="1267"/>
      <c r="AJ80" s="1267"/>
      <c r="AK80" s="1267"/>
      <c r="AL80" s="1267"/>
      <c r="AM80" s="1267"/>
      <c r="AN80" s="1267"/>
      <c r="AO80" s="1267"/>
      <c r="AP80" s="1267"/>
      <c r="AQ80" s="1267"/>
      <c r="AR80" s="1468">
        <v>0</v>
      </c>
    </row>
    <row customHeight="1" ht="11.25">
      <c r="AR81" s="105">
        <v>0</v>
      </c>
    </row>
    <row customHeight="1" ht="11.25">
      <c r="E82" s="2175" t="s">
        <v>249</v>
      </c>
      <c r="F82" s="2175"/>
      <c r="G82" s="2175"/>
      <c r="H82" s="2175"/>
      <c r="I82" s="2175"/>
      <c r="J82" s="2175"/>
      <c r="K82" s="2175"/>
      <c r="L82" s="2175"/>
      <c r="M82" s="2175"/>
      <c r="N82" s="2175"/>
      <c r="O82" s="2175"/>
      <c r="P82" s="2175"/>
      <c r="Q82" s="2175"/>
      <c r="R82" s="2175"/>
      <c r="S82" s="2175"/>
      <c r="T82" s="2175"/>
      <c r="U82" s="2175"/>
      <c r="V82" s="2175"/>
      <c r="W82" s="2175"/>
      <c r="AR82" s="105">
        <v>0</v>
      </c>
    </row>
    <row customHeight="1" ht="36.75">
      <c r="E83" s="2173" t="s">
        <v>250</v>
      </c>
      <c r="F83" s="2173"/>
      <c r="G83" s="2174"/>
      <c r="H83" s="2174"/>
      <c r="I83" s="2174"/>
      <c r="J83" s="2174"/>
      <c r="K83" s="2174"/>
      <c r="L83" s="2174"/>
      <c r="M83" s="2174"/>
      <c r="N83" s="2174"/>
      <c r="O83" s="2174"/>
      <c r="P83" s="2174"/>
      <c r="Q83" s="2174"/>
      <c r="R83" s="2174"/>
      <c r="S83" s="2174"/>
      <c r="T83" s="2174"/>
      <c r="U83" s="2174"/>
      <c r="V83" s="2174"/>
      <c r="W83" s="2174"/>
      <c r="AR83" s="105">
        <v>0</v>
      </c>
    </row>
    <row customHeight="1" ht="28.5">
      <c r="E84" s="2173" t="s">
        <v>251</v>
      </c>
      <c r="F84" s="2173"/>
      <c r="G84" s="2174"/>
      <c r="H84" s="2174"/>
      <c r="I84" s="2174"/>
      <c r="J84" s="2174"/>
      <c r="K84" s="2174"/>
      <c r="L84" s="2174"/>
      <c r="M84" s="2174"/>
      <c r="N84" s="2174"/>
      <c r="O84" s="2174"/>
      <c r="P84" s="2174"/>
      <c r="Q84" s="2174"/>
      <c r="R84" s="2174"/>
      <c r="S84" s="2174"/>
      <c r="T84" s="2174"/>
      <c r="U84" s="2174"/>
      <c r="V84" s="2174"/>
      <c r="W84" s="2174"/>
      <c r="AR84" s="105">
        <v>0</v>
      </c>
    </row>
    <row customHeight="1" ht="27">
      <c r="E85" s="2173" t="s">
        <v>252</v>
      </c>
      <c r="F85" s="2173"/>
      <c r="G85" s="2174"/>
      <c r="H85" s="2174"/>
      <c r="I85" s="2174"/>
      <c r="J85" s="2174"/>
      <c r="K85" s="2174"/>
      <c r="L85" s="2174"/>
      <c r="M85" s="2174"/>
      <c r="N85" s="2174"/>
      <c r="O85" s="2174"/>
      <c r="P85" s="2174"/>
      <c r="Q85" s="2174"/>
      <c r="R85" s="2174"/>
      <c r="S85" s="2174"/>
      <c r="T85" s="2174"/>
      <c r="U85" s="2174"/>
      <c r="V85" s="2174"/>
      <c r="W85" s="2174"/>
      <c r="AR85" s="105">
        <v>0</v>
      </c>
    </row>
    <row customHeight="1" ht="17.25">
      <c r="E86" s="2173" t="s">
        <v>253</v>
      </c>
      <c r="F86" s="2173"/>
      <c r="G86" s="2174"/>
      <c r="H86" s="2174"/>
      <c r="I86" s="2174"/>
      <c r="J86" s="2174"/>
      <c r="K86" s="2174"/>
      <c r="L86" s="2174"/>
      <c r="M86" s="2174"/>
      <c r="N86" s="2174"/>
      <c r="O86" s="2174"/>
      <c r="P86" s="2174"/>
      <c r="Q86" s="2174"/>
      <c r="R86" s="2174"/>
      <c r="S86" s="2174"/>
      <c r="T86" s="2174"/>
      <c r="U86" s="2174"/>
      <c r="V86" s="2174"/>
      <c r="W86" s="2174"/>
      <c r="AR86" s="105">
        <v>0</v>
      </c>
    </row>
    <row customHeight="1" ht="15">
      <c r="E87" s="341"/>
      <c r="F87" s="1286"/>
      <c r="G87" s="158"/>
      <c r="H87" s="158"/>
      <c r="I87" s="158"/>
      <c r="J87" s="158"/>
      <c r="K87" s="158"/>
      <c r="L87" s="158"/>
      <c r="M87" s="158"/>
      <c r="N87" s="158"/>
      <c r="O87" s="158"/>
      <c r="P87" s="158"/>
      <c r="Q87" s="158"/>
      <c r="R87" s="158"/>
      <c r="S87" s="158"/>
      <c r="T87" s="158"/>
      <c r="U87" s="158"/>
      <c r="V87" s="158"/>
      <c r="W87" s="158"/>
      <c r="AR87" s="105">
        <v>0</v>
      </c>
    </row>
    <row customHeight="1" ht="15">
      <c r="E88" s="2175" t="s">
        <v>254</v>
      </c>
      <c r="F88" s="2175"/>
      <c r="G88" s="2175"/>
      <c r="H88" s="2175"/>
      <c r="I88" s="2175"/>
      <c r="J88" s="2175"/>
      <c r="K88" s="2175"/>
      <c r="L88" s="2175"/>
      <c r="M88" s="2175"/>
      <c r="N88" s="2175"/>
      <c r="O88" s="2175"/>
      <c r="P88" s="2175"/>
      <c r="Q88" s="2175"/>
      <c r="R88" s="2175"/>
      <c r="S88" s="2175"/>
      <c r="T88" s="2175"/>
      <c r="U88" s="2175"/>
      <c r="V88" s="2175"/>
      <c r="W88" s="2175"/>
      <c r="AR88" s="105">
        <v>0</v>
      </c>
    </row>
    <row customHeight="1" ht="17.25">
      <c r="E89" s="2173" t="s">
        <v>255</v>
      </c>
      <c r="F89" s="2173"/>
      <c r="G89" s="2174"/>
      <c r="H89" s="2174"/>
      <c r="I89" s="2174"/>
      <c r="J89" s="2174"/>
      <c r="K89" s="2174"/>
      <c r="L89" s="2174"/>
      <c r="M89" s="2174"/>
      <c r="N89" s="2174"/>
      <c r="O89" s="2174"/>
      <c r="P89" s="2174"/>
      <c r="Q89" s="2174"/>
      <c r="R89" s="2174"/>
      <c r="S89" s="2174"/>
      <c r="T89" s="2174"/>
      <c r="U89" s="2174"/>
      <c r="V89" s="2174"/>
      <c r="W89" s="2174"/>
      <c r="AR89" s="105">
        <v>0</v>
      </c>
    </row>
    <row customHeight="1" ht="17.25">
      <c r="E90" s="2173" t="s">
        <v>256</v>
      </c>
      <c r="F90" s="2173"/>
      <c r="G90" s="2174"/>
      <c r="H90" s="2174"/>
      <c r="I90" s="2174"/>
      <c r="J90" s="2174"/>
      <c r="K90" s="2174"/>
      <c r="L90" s="2174"/>
      <c r="M90" s="2174"/>
      <c r="N90" s="2174"/>
      <c r="O90" s="2174"/>
      <c r="P90" s="2174"/>
      <c r="Q90" s="2174"/>
      <c r="R90" s="2174"/>
      <c r="S90" s="2174"/>
      <c r="T90" s="2174"/>
      <c r="U90" s="2174"/>
      <c r="V90" s="2174"/>
      <c r="W90" s="2174"/>
      <c r="AR90" s="105">
        <v>0</v>
      </c>
    </row>
    <row s="1854" customFormat="1" customHeight="1" ht="11.25" hidden="1">
      <c r="A91" s="278"/>
      <c r="B91" s="278"/>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210"/>
      <c r="D92" s="2136">
        <v>1</v>
      </c>
      <c r="E92" s="2144" t="s">
        <v>257</v>
      </c>
      <c r="F92" s="2146" t="s">
        <v>19</v>
      </c>
      <c r="G92" s="2144"/>
      <c r="H92" s="2149"/>
      <c r="I92" s="2151"/>
      <c r="J92" s="2153"/>
      <c r="K92" s="2138"/>
      <c r="L92" s="2138"/>
      <c r="M92" s="2138"/>
      <c r="N92" s="2140"/>
      <c r="O92" s="2138"/>
      <c r="P92" s="2138"/>
      <c r="Q92" s="2138"/>
      <c r="R92" s="2143"/>
      <c r="S92" s="2138"/>
      <c r="T92" s="1471"/>
      <c r="U92" s="1471"/>
      <c r="V92" s="1473"/>
      <c r="W92" s="1297"/>
      <c r="Y92" s="1268"/>
      <c r="Z92" s="1268"/>
      <c r="AA92" s="1268"/>
      <c r="AB92" s="1268"/>
      <c r="AC92" s="1268" t="s">
        <v>258</v>
      </c>
      <c r="AD92" s="1268" t="s">
        <v>259</v>
      </c>
      <c r="AE92" s="1268" t="s">
        <v>260</v>
      </c>
      <c r="AF92" s="1268" t="s">
        <v>261</v>
      </c>
      <c r="AG92" s="1268"/>
      <c r="AH92" s="1268" t="str">
        <f>IF($E$92=0,"",$E$92)</f>
        <v>Тариф на питьевую воду (питьевое водоснабжение)</v>
      </c>
      <c r="AI92" s="1268" t="str">
        <f>IF($G$92=0,"",$G$92)</f>
        <v/>
      </c>
      <c r="AJ92" s="1268" t="str">
        <f>IF($J$92=0,"",$J$92)</f>
        <v/>
      </c>
      <c r="AK92" s="1268" t="str">
        <f>IF($K$92="нет","без дифференциации",IF($N$92=0,"",$N$92))</f>
        <v/>
      </c>
      <c r="AL92" s="1268" t="str">
        <f>IF($O$92="нет","без дифференциации",IF($R$92=0,"",$R$92))</f>
        <v/>
      </c>
      <c r="AM92" s="1268" t="str">
        <f>IF($S$92="нет","без дифференциации",IF($V$92=0,"",$V$92))</f>
        <v/>
      </c>
      <c r="AN92" s="1268">
        <f>$I$92</f>
        <v>0</v>
      </c>
      <c r="AO92" s="1268" t="str">
        <f>$I$92&amp;"."&amp;$M$92</f>
        <v>.</v>
      </c>
      <c r="AP92" s="1268" t="str">
        <f>$I$92&amp;"."&amp;$M$92&amp;"."&amp;$Q$92</f>
        <v>..</v>
      </c>
      <c r="AQ92" s="1268" t="str">
        <f>$I$92&amp;"."&amp;$M$92&amp;"."&amp;$Q$92&amp;"."&amp;$U$92</f>
        <v>...</v>
      </c>
      <c r="AR92" s="1351">
        <v>0</v>
      </c>
    </row>
    <row s="1854" customFormat="1" customHeight="1" ht="17.25" hidden="1">
      <c r="A93" s="322"/>
      <c r="C93" s="321"/>
      <c r="D93" s="2136"/>
      <c r="E93" s="2144"/>
      <c r="F93" s="2147"/>
      <c r="G93" s="2144"/>
      <c r="H93" s="2150"/>
      <c r="I93" s="2152"/>
      <c r="J93" s="2154"/>
      <c r="K93" s="2139"/>
      <c r="L93" s="2139"/>
      <c r="M93" s="2139"/>
      <c r="N93" s="2141"/>
      <c r="O93" s="2139"/>
      <c r="P93" s="2139"/>
      <c r="Q93" s="2139"/>
      <c r="R93" s="2142"/>
      <c r="S93" s="2139"/>
      <c r="T93" s="1298"/>
      <c r="U93" s="1298"/>
      <c r="V93" s="1298"/>
      <c r="W93" s="1299"/>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c r="E94" s="2144"/>
      <c r="F94" s="2147"/>
      <c r="G94" s="2144"/>
      <c r="H94" s="2150"/>
      <c r="I94" s="2152"/>
      <c r="J94" s="2155"/>
      <c r="K94" s="2139"/>
      <c r="L94" s="2139"/>
      <c r="M94" s="2139"/>
      <c r="N94" s="2142"/>
      <c r="O94" s="2139"/>
      <c r="P94" s="1472"/>
      <c r="Q94" s="1298"/>
      <c r="R94" s="1298"/>
      <c r="S94" s="330"/>
      <c r="T94" s="330"/>
      <c r="U94" s="330"/>
      <c r="V94" s="330"/>
      <c r="W94" s="1299"/>
      <c r="Y94" s="1268"/>
      <c r="Z94" s="1268"/>
      <c r="AA94" s="1268"/>
      <c r="AB94" s="1268"/>
      <c r="AC94" s="1268"/>
      <c r="AD94" s="1268"/>
      <c r="AE94" s="1268"/>
      <c r="AF94" s="1268"/>
      <c r="AG94" s="1268"/>
      <c r="AH94" s="1268"/>
      <c r="AI94" s="1268"/>
      <c r="AJ94" s="1268"/>
      <c r="AK94" s="1268"/>
      <c r="AL94" s="1268"/>
      <c r="AM94" s="1268"/>
      <c r="AN94" s="1268"/>
      <c r="AO94" s="1268"/>
      <c r="AP94" s="1268"/>
      <c r="AQ94" s="1268"/>
      <c r="AR94" s="1442">
        <v>0</v>
      </c>
    </row>
    <row s="1854" customFormat="1" customHeight="1" ht="17.25" hidden="1">
      <c r="A95" s="322"/>
      <c r="C95" s="321"/>
      <c r="D95" s="2136"/>
      <c r="E95" s="2144"/>
      <c r="F95" s="2147"/>
      <c r="G95" s="2144"/>
      <c r="H95" s="2150"/>
      <c r="I95" s="2152"/>
      <c r="J95" s="2155"/>
      <c r="K95" s="2139"/>
      <c r="L95" s="1298"/>
      <c r="M95" s="1298"/>
      <c r="N95" s="1298"/>
      <c r="O95" s="1298"/>
      <c r="P95" s="1298"/>
      <c r="Q95" s="1298"/>
      <c r="R95" s="1298"/>
      <c r="S95" s="330"/>
      <c r="T95" s="330"/>
      <c r="U95" s="330"/>
      <c r="V95" s="330"/>
      <c r="W95" s="1299"/>
      <c r="Y95" s="1260"/>
      <c r="Z95" s="1260"/>
      <c r="AA95" s="1260"/>
      <c r="AB95" s="1260"/>
      <c r="AC95" s="1260"/>
      <c r="AD95" s="1260"/>
      <c r="AE95" s="1260"/>
      <c r="AF95" s="1260"/>
      <c r="AG95" s="1260"/>
      <c r="AH95" s="1260"/>
      <c r="AI95" s="1260"/>
      <c r="AJ95" s="1260"/>
      <c r="AK95" s="1260"/>
      <c r="AL95" s="1260"/>
      <c r="AM95" s="1260"/>
      <c r="AN95" s="1260"/>
      <c r="AO95" s="1260"/>
      <c r="AP95" s="1260"/>
      <c r="AQ95" s="1260"/>
      <c r="AR95" s="1442">
        <v>0</v>
      </c>
    </row>
    <row s="1854" customFormat="1" customHeight="1" ht="17.25" hidden="1">
      <c r="A96" s="322"/>
      <c r="C96" s="321"/>
      <c r="D96" s="2137"/>
      <c r="E96" s="2145"/>
      <c r="F96" s="2148"/>
      <c r="G96" s="2145"/>
      <c r="H96" s="1300"/>
      <c r="I96" s="1301"/>
      <c r="J96" s="1301"/>
      <c r="K96" s="1301"/>
      <c r="L96" s="1301"/>
      <c r="M96" s="1301"/>
      <c r="N96" s="1301"/>
      <c r="O96" s="1301"/>
      <c r="P96" s="1301"/>
      <c r="Q96" s="1301"/>
      <c r="R96" s="1301"/>
      <c r="S96" s="1302"/>
      <c r="T96" s="1302"/>
      <c r="U96" s="1302"/>
      <c r="V96" s="1302"/>
      <c r="W96" s="1303"/>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210"/>
      <c r="D97" s="2136">
        <v>2</v>
      </c>
      <c r="E97" s="2144" t="s">
        <v>262</v>
      </c>
      <c r="F97" s="2146" t="s">
        <v>19</v>
      </c>
      <c r="G97" s="2144"/>
      <c r="H97" s="2149"/>
      <c r="I97" s="2151"/>
      <c r="J97" s="2153"/>
      <c r="K97" s="2138"/>
      <c r="L97" s="2138"/>
      <c r="M97" s="2138"/>
      <c r="N97" s="2140"/>
      <c r="O97" s="2138"/>
      <c r="P97" s="2138"/>
      <c r="Q97" s="2138"/>
      <c r="R97" s="2143"/>
      <c r="S97" s="2138"/>
      <c r="T97" s="1444"/>
      <c r="U97" s="1444"/>
      <c r="V97" s="1446"/>
      <c r="W97" s="1297"/>
      <c r="X97" s="1268"/>
      <c r="Y97" s="1268"/>
      <c r="Z97" s="1268"/>
      <c r="AA97" s="1268"/>
      <c r="AB97" s="1268"/>
      <c r="AC97" s="1268" t="s">
        <v>263</v>
      </c>
      <c r="AD97" s="1268" t="s">
        <v>264</v>
      </c>
      <c r="AE97" s="1268" t="s">
        <v>265</v>
      </c>
      <c r="AF97" s="1268" t="s">
        <v>266</v>
      </c>
      <c r="AG97" s="1268"/>
      <c r="AH97" s="1268" t="str">
        <f>IF($E$97=0,"",$E$97)</f>
        <v>Тариф на техническую воду</v>
      </c>
      <c r="AI97" s="1268" t="str">
        <f>IF($G$97=0,"",$G$97)</f>
        <v/>
      </c>
      <c r="AJ97" s="1268" t="str">
        <f>IF($J$97=0,"",$J$97)</f>
        <v/>
      </c>
      <c r="AK97" s="1268" t="str">
        <f>IF($K$97="нет","без дифференциации",IF($N$97=0,"",$N$97))</f>
        <v/>
      </c>
      <c r="AL97" s="1268" t="str">
        <f>IF($O$97="нет","без дифференциации",IF($R$97=0,"",$R$97))</f>
        <v/>
      </c>
      <c r="AM97" s="1268" t="str">
        <f>IF($S$97="нет","без дифференциации",IF($V$97=0,"",$V$97))</f>
        <v/>
      </c>
      <c r="AN97" s="1773">
        <f>$I$97</f>
        <v>0</v>
      </c>
      <c r="AO97" s="1268" t="str">
        <f>$I$97&amp;"."&amp;$M$97</f>
        <v>.</v>
      </c>
      <c r="AP97" s="1260" t="str">
        <f>$I$97&amp;"."&amp;$M$97&amp;"."&amp;$Q$97</f>
        <v>..</v>
      </c>
      <c r="AQ97" s="1260" t="str">
        <f>$I$97&amp;"."&amp;$M$97&amp;"."&amp;$Q$97&amp;"."&amp;$U$97</f>
        <v>...</v>
      </c>
      <c r="AR97" s="1351">
        <v>0</v>
      </c>
    </row>
    <row s="1854" customFormat="1" customHeight="1" ht="17.25" hidden="1">
      <c r="A98" s="322"/>
      <c r="C98" s="321"/>
      <c r="D98" s="2136"/>
      <c r="E98" s="2144"/>
      <c r="F98" s="2147"/>
      <c r="G98" s="2144"/>
      <c r="H98" s="2150"/>
      <c r="I98" s="2152"/>
      <c r="J98" s="2154"/>
      <c r="K98" s="2139"/>
      <c r="L98" s="2139"/>
      <c r="M98" s="2139"/>
      <c r="N98" s="2141"/>
      <c r="O98" s="2139"/>
      <c r="P98" s="2139"/>
      <c r="Q98" s="2139"/>
      <c r="R98" s="2142"/>
      <c r="S98" s="2139"/>
      <c r="T98" s="1298"/>
      <c r="U98" s="1298"/>
      <c r="V98" s="1298"/>
      <c r="W98" s="1299"/>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321"/>
      <c r="D99" s="2137"/>
      <c r="E99" s="2145"/>
      <c r="F99" s="2147"/>
      <c r="G99" s="2145"/>
      <c r="H99" s="2150"/>
      <c r="I99" s="2152"/>
      <c r="J99" s="2155"/>
      <c r="K99" s="2139"/>
      <c r="L99" s="2139"/>
      <c r="M99" s="2139"/>
      <c r="N99" s="2142"/>
      <c r="O99" s="2139"/>
      <c r="P99" s="1445"/>
      <c r="Q99" s="1298"/>
      <c r="R99" s="1298"/>
      <c r="S99" s="330"/>
      <c r="T99" s="330"/>
      <c r="U99" s="330"/>
      <c r="V99" s="330"/>
      <c r="W99" s="1299"/>
      <c r="X99" s="1260"/>
      <c r="Y99" s="1260"/>
      <c r="Z99" s="1260"/>
      <c r="AA99" s="1260"/>
      <c r="AB99" s="1260"/>
      <c r="AC99" s="1260"/>
      <c r="AD99" s="1260"/>
      <c r="AE99" s="1260"/>
      <c r="AF99" s="1260"/>
      <c r="AG99" s="1260"/>
      <c r="AH99" s="1260"/>
      <c r="AI99" s="1260"/>
      <c r="AJ99" s="1260"/>
      <c r="AK99" s="1260"/>
      <c r="AL99" s="1260"/>
      <c r="AM99" s="1260"/>
      <c r="AN99" s="1260"/>
      <c r="AO99" s="1260"/>
      <c r="AP99" s="1260"/>
      <c r="AQ99" s="1260"/>
      <c r="AR99" s="1351">
        <v>0</v>
      </c>
    </row>
    <row s="1854" customFormat="1" customHeight="1" ht="17.25" hidden="1">
      <c r="A100" s="322"/>
      <c r="C100" s="321"/>
      <c r="D100" s="2137"/>
      <c r="E100" s="2145"/>
      <c r="F100" s="2147"/>
      <c r="G100" s="2145"/>
      <c r="H100" s="2150"/>
      <c r="I100" s="2152"/>
      <c r="J100" s="2155"/>
      <c r="K100" s="2139"/>
      <c r="L100" s="1298"/>
      <c r="M100" s="1298"/>
      <c r="N100" s="1298"/>
      <c r="O100" s="1298"/>
      <c r="P100" s="1298"/>
      <c r="Q100" s="1298"/>
      <c r="R100" s="1298"/>
      <c r="S100" s="330"/>
      <c r="T100" s="330"/>
      <c r="U100" s="330"/>
      <c r="V100" s="330"/>
      <c r="W100" s="1299"/>
      <c r="X100" s="1260"/>
      <c r="Y100" s="1260"/>
      <c r="Z100" s="1260"/>
      <c r="AA100" s="1260"/>
      <c r="AB100" s="1260"/>
      <c r="AC100" s="1260"/>
      <c r="AD100" s="1260"/>
      <c r="AE100" s="1260"/>
      <c r="AF100" s="1260"/>
      <c r="AG100" s="1260"/>
      <c r="AH100" s="1260"/>
      <c r="AI100" s="1260"/>
      <c r="AJ100" s="1260"/>
      <c r="AK100" s="1260"/>
      <c r="AL100" s="1260"/>
      <c r="AM100" s="1260"/>
      <c r="AN100" s="1260"/>
      <c r="AO100" s="1260"/>
      <c r="AP100" s="1260"/>
      <c r="AQ100" s="1260"/>
      <c r="AR100" s="1351">
        <v>0</v>
      </c>
    </row>
    <row s="1854" customFormat="1" customHeight="1" ht="17.25" hidden="1">
      <c r="A101" s="322"/>
      <c r="C101" s="321"/>
      <c r="D101" s="2137"/>
      <c r="E101" s="2145"/>
      <c r="F101" s="2148"/>
      <c r="G101" s="2145"/>
      <c r="H101" s="1300"/>
      <c r="I101" s="1301"/>
      <c r="J101" s="1301"/>
      <c r="K101" s="1301"/>
      <c r="L101" s="1301"/>
      <c r="M101" s="1301"/>
      <c r="N101" s="1301"/>
      <c r="O101" s="1301"/>
      <c r="P101" s="1301"/>
      <c r="Q101" s="1301"/>
      <c r="R101" s="1301"/>
      <c r="S101" s="1302"/>
      <c r="T101" s="1302"/>
      <c r="U101" s="1302"/>
      <c r="V101" s="1302"/>
      <c r="W101" s="1303"/>
      <c r="X101" s="1260"/>
      <c r="Y101" s="1260"/>
      <c r="Z101" s="1260"/>
      <c r="AA101" s="1260"/>
      <c r="AB101" s="1260"/>
      <c r="AC101" s="1260"/>
      <c r="AD101" s="1260"/>
      <c r="AE101" s="1260"/>
      <c r="AF101" s="1260"/>
      <c r="AG101" s="1260"/>
      <c r="AH101" s="1260"/>
      <c r="AI101" s="1260"/>
      <c r="AJ101" s="1260"/>
      <c r="AK101" s="1260"/>
      <c r="AL101" s="1260"/>
      <c r="AM101" s="1260"/>
      <c r="AN101" s="1260"/>
      <c r="AO101" s="1260"/>
      <c r="AP101" s="1260"/>
      <c r="AQ101" s="1260"/>
      <c r="AR101" s="1351">
        <v>0</v>
      </c>
    </row>
    <row s="1854" customFormat="1" customHeight="1" ht="17.25" hidden="1">
      <c r="A102" s="322"/>
      <c r="C102" s="210"/>
      <c r="D102" s="2136">
        <v>3</v>
      </c>
      <c r="E102" s="2144" t="s">
        <v>267</v>
      </c>
      <c r="F102" s="2146" t="s">
        <v>19</v>
      </c>
      <c r="G102" s="2144"/>
      <c r="H102" s="2149"/>
      <c r="I102" s="2151"/>
      <c r="J102" s="2153"/>
      <c r="K102" s="2138"/>
      <c r="L102" s="2138"/>
      <c r="M102" s="2138"/>
      <c r="N102" s="2140"/>
      <c r="O102" s="2138"/>
      <c r="P102" s="2138"/>
      <c r="Q102" s="2138"/>
      <c r="R102" s="2143"/>
      <c r="S102" s="2138"/>
      <c r="T102" s="1444"/>
      <c r="U102" s="1444"/>
      <c r="V102" s="1446"/>
      <c r="W102" s="1297"/>
      <c r="X102" s="1268"/>
      <c r="Y102" s="1268"/>
      <c r="Z102" s="1268"/>
      <c r="AA102" s="1268"/>
      <c r="AB102" s="1268"/>
      <c r="AC102" s="1268" t="s">
        <v>268</v>
      </c>
      <c r="AD102" s="1268" t="s">
        <v>269</v>
      </c>
      <c r="AE102" s="1268" t="s">
        <v>270</v>
      </c>
      <c r="AF102" s="1268" t="s">
        <v>271</v>
      </c>
      <c r="AG102" s="1268"/>
      <c r="AH102" s="1268" t="str">
        <f>IF($E$102=0,"",$E$102)</f>
        <v>Тариф на транспортировку воды</v>
      </c>
      <c r="AI102" s="1268" t="str">
        <f>IF($G$102=0,"",$G$102)</f>
        <v/>
      </c>
      <c r="AJ102" s="1268" t="str">
        <f>IF($J$102=0,"",$J$102)</f>
        <v/>
      </c>
      <c r="AK102" s="1268" t="str">
        <f>IF($K$102="нет","без дифференциации",IF($N$102=0,"",$N$102))</f>
        <v/>
      </c>
      <c r="AL102" s="1268" t="str">
        <f>IF($O$102="нет","без дифференциации",IF($R$102=0,"",$R$102))</f>
        <v/>
      </c>
      <c r="AM102" s="1268" t="str">
        <f>IF($S$102="нет","без дифференциации",IF($V$102=0,"",$V$102))</f>
        <v/>
      </c>
      <c r="AN102" s="1773">
        <f>$I$102</f>
        <v>0</v>
      </c>
      <c r="AO102" s="1268" t="str">
        <f>$I$102&amp;"."&amp;$M$102</f>
        <v>.</v>
      </c>
      <c r="AP102" s="1260" t="str">
        <f>$I$102&amp;"."&amp;$M$102&amp;"."&amp;$Q$102</f>
        <v>..</v>
      </c>
      <c r="AQ102" s="1260" t="str">
        <f>$I$102&amp;"."&amp;$M$102&amp;"."&amp;$Q$102&amp;"."&amp;$U$102</f>
        <v>...</v>
      </c>
      <c r="AR102" s="1351">
        <v>0</v>
      </c>
    </row>
    <row s="1854" customFormat="1" customHeight="1" ht="17.25" hidden="1">
      <c r="A103" s="322"/>
      <c r="C103" s="321"/>
      <c r="D103" s="2136"/>
      <c r="E103" s="2144"/>
      <c r="F103" s="2147"/>
      <c r="G103" s="2144"/>
      <c r="H103" s="2150"/>
      <c r="I103" s="2152"/>
      <c r="J103" s="2154"/>
      <c r="K103" s="2139"/>
      <c r="L103" s="2139"/>
      <c r="M103" s="2139"/>
      <c r="N103" s="2141"/>
      <c r="O103" s="2139"/>
      <c r="P103" s="2139"/>
      <c r="Q103" s="2139"/>
      <c r="R103" s="2142"/>
      <c r="S103" s="2139"/>
      <c r="T103" s="1298"/>
      <c r="U103" s="1298"/>
      <c r="V103" s="1298"/>
      <c r="W103" s="1299"/>
      <c r="X103" s="1260"/>
      <c r="Y103" s="1260"/>
      <c r="Z103" s="1260"/>
      <c r="AA103" s="1260"/>
      <c r="AB103" s="1260"/>
      <c r="AC103" s="1260"/>
      <c r="AD103" s="1260"/>
      <c r="AE103" s="1260"/>
      <c r="AF103" s="1260"/>
      <c r="AG103" s="1260"/>
      <c r="AH103" s="1260"/>
      <c r="AI103" s="1260"/>
      <c r="AJ103" s="1260"/>
      <c r="AK103" s="1260"/>
      <c r="AL103" s="1260"/>
      <c r="AM103" s="1260"/>
      <c r="AN103" s="1260"/>
      <c r="AO103" s="1260"/>
      <c r="AP103" s="1260"/>
      <c r="AQ103" s="1260"/>
      <c r="AR103" s="1351">
        <v>0</v>
      </c>
    </row>
    <row s="1854" customFormat="1" customHeight="1" ht="17.25" hidden="1">
      <c r="A104" s="322"/>
      <c r="C104" s="321"/>
      <c r="D104" s="2137"/>
      <c r="E104" s="2145"/>
      <c r="F104" s="2147"/>
      <c r="G104" s="2145"/>
      <c r="H104" s="2150"/>
      <c r="I104" s="2152"/>
      <c r="J104" s="2155"/>
      <c r="K104" s="2139"/>
      <c r="L104" s="2139"/>
      <c r="M104" s="2139"/>
      <c r="N104" s="2142"/>
      <c r="O104" s="2139"/>
      <c r="P104" s="1445"/>
      <c r="Q104" s="1298"/>
      <c r="R104" s="1298"/>
      <c r="S104" s="330"/>
      <c r="T104" s="330"/>
      <c r="U104" s="330"/>
      <c r="V104" s="330"/>
      <c r="W104" s="1299"/>
      <c r="X104" s="1260"/>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351">
        <v>0</v>
      </c>
    </row>
    <row s="1854" customFormat="1" customHeight="1" ht="17.25" hidden="1">
      <c r="A105" s="322"/>
      <c r="C105" s="321"/>
      <c r="D105" s="2137"/>
      <c r="E105" s="2145"/>
      <c r="F105" s="2147"/>
      <c r="G105" s="2145"/>
      <c r="H105" s="2150"/>
      <c r="I105" s="2152"/>
      <c r="J105" s="2155"/>
      <c r="K105" s="2139"/>
      <c r="L105" s="1298"/>
      <c r="M105" s="1298"/>
      <c r="N105" s="1298"/>
      <c r="O105" s="1298"/>
      <c r="P105" s="1298"/>
      <c r="Q105" s="1298"/>
      <c r="R105" s="1298"/>
      <c r="S105" s="330"/>
      <c r="T105" s="330"/>
      <c r="U105" s="330"/>
      <c r="V105" s="330"/>
      <c r="W105" s="1299"/>
      <c r="X105" s="1260"/>
      <c r="Y105" s="1260"/>
      <c r="Z105" s="1260"/>
      <c r="AA105" s="1260"/>
      <c r="AB105" s="1260"/>
      <c r="AC105" s="1260"/>
      <c r="AD105" s="1260"/>
      <c r="AE105" s="1260"/>
      <c r="AF105" s="1260"/>
      <c r="AG105" s="1260"/>
      <c r="AH105" s="1260"/>
      <c r="AI105" s="1260"/>
      <c r="AJ105" s="1260"/>
      <c r="AK105" s="1260"/>
      <c r="AL105" s="1260"/>
      <c r="AM105" s="1260"/>
      <c r="AN105" s="1260"/>
      <c r="AO105" s="1260"/>
      <c r="AP105" s="1260"/>
      <c r="AQ105" s="1260"/>
      <c r="AR105" s="1351">
        <v>0</v>
      </c>
    </row>
    <row s="1854" customFormat="1" customHeight="1" ht="17.25" hidden="1">
      <c r="A106" s="322"/>
      <c r="C106" s="321"/>
      <c r="D106" s="2137"/>
      <c r="E106" s="2145"/>
      <c r="F106" s="2148"/>
      <c r="G106" s="2145"/>
      <c r="H106" s="1300"/>
      <c r="I106" s="1301"/>
      <c r="J106" s="1301"/>
      <c r="K106" s="1301"/>
      <c r="L106" s="1301"/>
      <c r="M106" s="1301"/>
      <c r="N106" s="1301"/>
      <c r="O106" s="1301"/>
      <c r="P106" s="1301"/>
      <c r="Q106" s="1301"/>
      <c r="R106" s="1301"/>
      <c r="S106" s="1302"/>
      <c r="T106" s="1302"/>
      <c r="U106" s="1302"/>
      <c r="V106" s="1302"/>
      <c r="W106" s="1303"/>
      <c r="X106" s="1260"/>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351">
        <v>0</v>
      </c>
    </row>
    <row s="1854" customFormat="1" customHeight="1" ht="17.25" hidden="1">
      <c r="A107" s="322"/>
      <c r="C107" s="210"/>
      <c r="D107" s="2136">
        <v>4</v>
      </c>
      <c r="E107" s="2144" t="s">
        <v>272</v>
      </c>
      <c r="F107" s="2146" t="s">
        <v>19</v>
      </c>
      <c r="G107" s="2144"/>
      <c r="H107" s="2149"/>
      <c r="I107" s="2151"/>
      <c r="J107" s="2153"/>
      <c r="K107" s="2138"/>
      <c r="L107" s="2138"/>
      <c r="M107" s="2138"/>
      <c r="N107" s="2140"/>
      <c r="O107" s="2138"/>
      <c r="P107" s="2138"/>
      <c r="Q107" s="2138"/>
      <c r="R107" s="2143"/>
      <c r="S107" s="2138"/>
      <c r="T107" s="1444"/>
      <c r="U107" s="1444"/>
      <c r="V107" s="1446"/>
      <c r="W107" s="1297"/>
      <c r="X107" s="1268"/>
      <c r="Y107" s="1268"/>
      <c r="Z107" s="1268"/>
      <c r="AA107" s="1268"/>
      <c r="AB107" s="1268"/>
      <c r="AC107" s="1268" t="s">
        <v>273</v>
      </c>
      <c r="AD107" s="1268" t="s">
        <v>274</v>
      </c>
      <c r="AE107" s="1268" t="s">
        <v>275</v>
      </c>
      <c r="AF107" s="1268" t="s">
        <v>276</v>
      </c>
      <c r="AG107" s="1268"/>
      <c r="AH107" s="1268" t="str">
        <f>IF($E$107=0,"",$E$107)</f>
        <v>Тариф на подвоз воды</v>
      </c>
      <c r="AI107" s="1268" t="str">
        <f>IF($G$107=0,"",$G$107)</f>
        <v/>
      </c>
      <c r="AJ107" s="1268" t="str">
        <f>IF($J$107=0,"",$J$107)</f>
        <v/>
      </c>
      <c r="AK107" s="1268" t="str">
        <f>IF($K$107="нет","без дифференциации",IF($N$107=0,"",$N$107))</f>
        <v/>
      </c>
      <c r="AL107" s="1268" t="str">
        <f>IF($O$107="нет","без дифференциации",IF($R$107=0,"",$R$107))</f>
        <v/>
      </c>
      <c r="AM107" s="1268" t="str">
        <f>IF($S$107="нет","без дифференциации",IF($V$107=0,"",$V$107))</f>
        <v/>
      </c>
      <c r="AN107" s="1773">
        <f>$I$107</f>
        <v>0</v>
      </c>
      <c r="AO107" s="1268" t="str">
        <f>$I$107&amp;"."&amp;$M$107</f>
        <v>.</v>
      </c>
      <c r="AP107" s="1260" t="str">
        <f>$I$107&amp;"."&amp;$M$107&amp;"."&amp;$Q$107</f>
        <v>..</v>
      </c>
      <c r="AQ107" s="1260" t="str">
        <f>$I$107&amp;"."&amp;$M$107&amp;"."&amp;$Q$107&amp;"."&amp;$U$107</f>
        <v>...</v>
      </c>
      <c r="AR107" s="1351">
        <v>0</v>
      </c>
    </row>
    <row s="1854" customFormat="1" customHeight="1" ht="17.25" hidden="1">
      <c r="A108" s="322"/>
      <c r="C108" s="321"/>
      <c r="D108" s="2136"/>
      <c r="E108" s="2144"/>
      <c r="F108" s="2147"/>
      <c r="G108" s="2144"/>
      <c r="H108" s="2150"/>
      <c r="I108" s="2152"/>
      <c r="J108" s="2154"/>
      <c r="K108" s="2139"/>
      <c r="L108" s="2139"/>
      <c r="M108" s="2139"/>
      <c r="N108" s="2141"/>
      <c r="O108" s="2139"/>
      <c r="P108" s="2139"/>
      <c r="Q108" s="2139"/>
      <c r="R108" s="2142"/>
      <c r="S108" s="2139"/>
      <c r="T108" s="1298"/>
      <c r="U108" s="1298"/>
      <c r="V108" s="1298"/>
      <c r="W108" s="1299"/>
      <c r="X108" s="1260"/>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351">
        <v>0</v>
      </c>
    </row>
    <row s="1854" customFormat="1" customHeight="1" ht="17.25" hidden="1">
      <c r="A109" s="322"/>
      <c r="C109" s="321"/>
      <c r="D109" s="2137"/>
      <c r="E109" s="2145"/>
      <c r="F109" s="2147"/>
      <c r="G109" s="2145"/>
      <c r="H109" s="2150"/>
      <c r="I109" s="2152"/>
      <c r="J109" s="2155"/>
      <c r="K109" s="2139"/>
      <c r="L109" s="2139"/>
      <c r="M109" s="2139"/>
      <c r="N109" s="2142"/>
      <c r="O109" s="2139"/>
      <c r="P109" s="1445"/>
      <c r="Q109" s="1298"/>
      <c r="R109" s="1298"/>
      <c r="S109" s="330"/>
      <c r="T109" s="330"/>
      <c r="U109" s="330"/>
      <c r="V109" s="330"/>
      <c r="W109" s="1299"/>
      <c r="X109" s="1260"/>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351">
        <v>0</v>
      </c>
    </row>
    <row s="1854" customFormat="1" customHeight="1" ht="17.25" hidden="1">
      <c r="A110" s="322"/>
      <c r="C110" s="321"/>
      <c r="D110" s="2137"/>
      <c r="E110" s="2145"/>
      <c r="F110" s="2147"/>
      <c r="G110" s="2145"/>
      <c r="H110" s="2150"/>
      <c r="I110" s="2152"/>
      <c r="J110" s="2155"/>
      <c r="K110" s="2139"/>
      <c r="L110" s="1298"/>
      <c r="M110" s="1298"/>
      <c r="N110" s="1298"/>
      <c r="O110" s="1298"/>
      <c r="P110" s="1298"/>
      <c r="Q110" s="1298"/>
      <c r="R110" s="1298"/>
      <c r="S110" s="330"/>
      <c r="T110" s="330"/>
      <c r="U110" s="330"/>
      <c r="V110" s="330"/>
      <c r="W110" s="1299"/>
      <c r="X110" s="1260"/>
      <c r="Y110" s="1260"/>
      <c r="Z110" s="1260"/>
      <c r="AA110" s="1260"/>
      <c r="AB110" s="1260"/>
      <c r="AC110" s="1260"/>
      <c r="AD110" s="1260"/>
      <c r="AE110" s="1260"/>
      <c r="AF110" s="1260"/>
      <c r="AG110" s="1260"/>
      <c r="AH110" s="1260"/>
      <c r="AI110" s="1260"/>
      <c r="AJ110" s="1260"/>
      <c r="AK110" s="1260"/>
      <c r="AL110" s="1260"/>
      <c r="AM110" s="1260"/>
      <c r="AN110" s="1260"/>
      <c r="AO110" s="1260"/>
      <c r="AP110" s="1260"/>
      <c r="AQ110" s="1260"/>
      <c r="AR110" s="1351">
        <v>0</v>
      </c>
    </row>
    <row s="1854" customFormat="1" customHeight="1" ht="17.25" hidden="1">
      <c r="A111" s="322"/>
      <c r="C111" s="321"/>
      <c r="D111" s="2137"/>
      <c r="E111" s="2145"/>
      <c r="F111" s="2148"/>
      <c r="G111" s="2145"/>
      <c r="H111" s="1300"/>
      <c r="I111" s="1301"/>
      <c r="J111" s="1301"/>
      <c r="K111" s="1301"/>
      <c r="L111" s="1301"/>
      <c r="M111" s="1301"/>
      <c r="N111" s="1301"/>
      <c r="O111" s="1301"/>
      <c r="P111" s="1301"/>
      <c r="Q111" s="1301"/>
      <c r="R111" s="1301"/>
      <c r="S111" s="1302"/>
      <c r="T111" s="1302"/>
      <c r="U111" s="1302"/>
      <c r="V111" s="1302"/>
      <c r="W111" s="1303"/>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351">
        <v>0</v>
      </c>
    </row>
    <row s="1854" customFormat="1" customHeight="1" ht="17.25" hidden="1">
      <c r="A112" s="322"/>
      <c r="C112" s="210"/>
      <c r="D112" s="2136">
        <v>5</v>
      </c>
      <c r="E112" s="2144" t="s">
        <v>277</v>
      </c>
      <c r="F112" s="2146" t="s">
        <v>19</v>
      </c>
      <c r="G112" s="2144"/>
      <c r="H112" s="2149"/>
      <c r="I112" s="2151"/>
      <c r="J112" s="2153"/>
      <c r="K112" s="2138"/>
      <c r="L112" s="2138"/>
      <c r="M112" s="2138"/>
      <c r="N112" s="2140"/>
      <c r="O112" s="2138"/>
      <c r="P112" s="2138"/>
      <c r="Q112" s="2138"/>
      <c r="R112" s="2143"/>
      <c r="S112" s="2138"/>
      <c r="T112" s="1944"/>
      <c r="U112" s="1944"/>
      <c r="V112" s="1946"/>
      <c r="W112" s="1297"/>
      <c r="X112" s="1268"/>
      <c r="Y112" s="1268"/>
      <c r="Z112" s="1268"/>
      <c r="AA112" s="1268"/>
      <c r="AB112" s="1268"/>
      <c r="AC112" s="1268" t="s">
        <v>278</v>
      </c>
      <c r="AD112" s="1268" t="s">
        <v>279</v>
      </c>
      <c r="AE112" s="1268" t="s">
        <v>280</v>
      </c>
      <c r="AF112" s="1268" t="s">
        <v>281</v>
      </c>
      <c r="AG112" s="1268"/>
      <c r="AH112" s="1268" t="str">
        <f>IF($E$112=0,"",$E$112)</f>
        <v>Тариф на подключение (технологическое присоединение) к централизованной системе холодного водоснабжения</v>
      </c>
      <c r="AI112" s="1268" t="str">
        <f>IF($G$112=0,"",$G$112)</f>
        <v/>
      </c>
      <c r="AJ112" s="1268" t="str">
        <f>IF($J$112=0,"",$J$112)</f>
        <v/>
      </c>
      <c r="AK112" s="1268" t="str">
        <f>IF($K$112="нет","без дифференциации",IF($N$112=0,"",$N$112))</f>
        <v/>
      </c>
      <c r="AL112" s="1268" t="str">
        <f>IF($O$112="нет","без дифференциации",IF($R$112=0,"",$R$112))</f>
        <v/>
      </c>
      <c r="AM112" s="1268" t="str">
        <f>IF($S$112="нет","без дифференциации",IF($V$112=0,"",$V$112))</f>
        <v/>
      </c>
      <c r="AN112" s="1773">
        <f>$I$112</f>
        <v>0</v>
      </c>
      <c r="AO112" s="1268" t="str">
        <f>$I$112&amp;"."&amp;$M$112</f>
        <v>.</v>
      </c>
      <c r="AP112" s="1267" t="str">
        <f>$I$112&amp;"."&amp;$M$112&amp;"."&amp;$Q$112</f>
        <v>..</v>
      </c>
      <c r="AQ112" s="1267" t="str">
        <f>$I$112&amp;"."&amp;$M$112&amp;"."&amp;$Q$112&amp;"."&amp;$U$112</f>
        <v>...</v>
      </c>
      <c r="AR112" s="1468">
        <v>0</v>
      </c>
    </row>
    <row s="1854" customFormat="1" customHeight="1" ht="17.25" hidden="1">
      <c r="A113" s="322"/>
      <c r="C113" s="321"/>
      <c r="D113" s="2136"/>
      <c r="E113" s="2144"/>
      <c r="F113" s="2147"/>
      <c r="G113" s="2144"/>
      <c r="H113" s="2150"/>
      <c r="I113" s="2152"/>
      <c r="J113" s="2154"/>
      <c r="K113" s="2139"/>
      <c r="L113" s="2139"/>
      <c r="M113" s="2139"/>
      <c r="N113" s="2141"/>
      <c r="O113" s="2139"/>
      <c r="P113" s="2139"/>
      <c r="Q113" s="2139"/>
      <c r="R113" s="2142"/>
      <c r="S113" s="2139"/>
      <c r="T113" s="1949"/>
      <c r="U113" s="1949"/>
      <c r="V113" s="1949"/>
      <c r="W113" s="1950"/>
      <c r="X113" s="1267"/>
      <c r="Y113" s="1267"/>
      <c r="Z113" s="1267"/>
      <c r="AA113" s="1267"/>
      <c r="AB113" s="1267"/>
      <c r="AC113" s="1267"/>
      <c r="AD113" s="1267"/>
      <c r="AE113" s="1267"/>
      <c r="AF113" s="1267"/>
      <c r="AG113" s="1267"/>
      <c r="AH113" s="1267"/>
      <c r="AI113" s="1267"/>
      <c r="AJ113" s="1267"/>
      <c r="AK113" s="1267"/>
      <c r="AL113" s="1267"/>
      <c r="AM113" s="1267"/>
      <c r="AN113" s="1267"/>
      <c r="AO113" s="1267"/>
      <c r="AP113" s="1267"/>
      <c r="AQ113" s="1267"/>
      <c r="AR113" s="1468">
        <v>0</v>
      </c>
    </row>
    <row s="1854" customFormat="1" customHeight="1" ht="17.25" hidden="1">
      <c r="A114" s="322"/>
      <c r="C114" s="321"/>
      <c r="D114" s="2137"/>
      <c r="E114" s="2145"/>
      <c r="F114" s="2147"/>
      <c r="G114" s="2145"/>
      <c r="H114" s="2150"/>
      <c r="I114" s="2152"/>
      <c r="J114" s="2155"/>
      <c r="K114" s="2139"/>
      <c r="L114" s="2139"/>
      <c r="M114" s="2139"/>
      <c r="N114" s="2142"/>
      <c r="O114" s="2139"/>
      <c r="P114" s="1945"/>
      <c r="Q114" s="1949"/>
      <c r="R114" s="1949"/>
      <c r="S114" s="330"/>
      <c r="T114" s="330"/>
      <c r="U114" s="330"/>
      <c r="V114" s="330"/>
      <c r="W114" s="1950"/>
      <c r="X114" s="1267"/>
      <c r="Y114" s="1267"/>
      <c r="Z114" s="1267"/>
      <c r="AA114" s="1267"/>
      <c r="AB114" s="1267"/>
      <c r="AC114" s="1267"/>
      <c r="AD114" s="1267"/>
      <c r="AE114" s="1267"/>
      <c r="AF114" s="1267"/>
      <c r="AG114" s="1267"/>
      <c r="AH114" s="1267"/>
      <c r="AI114" s="1267"/>
      <c r="AJ114" s="1267"/>
      <c r="AK114" s="1267"/>
      <c r="AL114" s="1267"/>
      <c r="AM114" s="1267"/>
      <c r="AN114" s="1267"/>
      <c r="AO114" s="1267"/>
      <c r="AP114" s="1267"/>
      <c r="AQ114" s="1267"/>
      <c r="AR114" s="1468">
        <v>0</v>
      </c>
    </row>
    <row s="1854" customFormat="1" customHeight="1" ht="17.25" hidden="1">
      <c r="A115" s="322"/>
      <c r="C115" s="321"/>
      <c r="D115" s="2137"/>
      <c r="E115" s="2145"/>
      <c r="F115" s="2147"/>
      <c r="G115" s="2145"/>
      <c r="H115" s="2150"/>
      <c r="I115" s="2152"/>
      <c r="J115" s="2155"/>
      <c r="K115" s="2139"/>
      <c r="L115" s="1949"/>
      <c r="M115" s="1949"/>
      <c r="N115" s="1949"/>
      <c r="O115" s="1949"/>
      <c r="P115" s="1949"/>
      <c r="Q115" s="1949"/>
      <c r="R115" s="1949"/>
      <c r="S115" s="330"/>
      <c r="T115" s="330"/>
      <c r="U115" s="330"/>
      <c r="V115" s="330"/>
      <c r="W115" s="1950"/>
      <c r="X115" s="1267"/>
      <c r="Y115" s="1267"/>
      <c r="Z115" s="1267"/>
      <c r="AA115" s="1267"/>
      <c r="AB115" s="1267"/>
      <c r="AC115" s="1267"/>
      <c r="AD115" s="1267"/>
      <c r="AE115" s="1267"/>
      <c r="AF115" s="1267"/>
      <c r="AG115" s="1267"/>
      <c r="AH115" s="1267"/>
      <c r="AI115" s="1267"/>
      <c r="AJ115" s="1267"/>
      <c r="AK115" s="1267"/>
      <c r="AL115" s="1267"/>
      <c r="AM115" s="1267"/>
      <c r="AN115" s="1267"/>
      <c r="AO115" s="1267"/>
      <c r="AP115" s="1267"/>
      <c r="AQ115" s="1267"/>
      <c r="AR115" s="1468">
        <v>0</v>
      </c>
    </row>
    <row s="1854" customFormat="1" customHeight="1" ht="17.25" hidden="1">
      <c r="A116" s="322"/>
      <c r="C116" s="321"/>
      <c r="D116" s="2137"/>
      <c r="E116" s="2145"/>
      <c r="F116" s="2148"/>
      <c r="G116" s="2145"/>
      <c r="H116" s="1300"/>
      <c r="I116" s="1947"/>
      <c r="J116" s="1947"/>
      <c r="K116" s="1947"/>
      <c r="L116" s="1947"/>
      <c r="M116" s="1947"/>
      <c r="N116" s="1947"/>
      <c r="O116" s="1947"/>
      <c r="P116" s="1947"/>
      <c r="Q116" s="1947"/>
      <c r="R116" s="1947"/>
      <c r="S116" s="1302"/>
      <c r="T116" s="1302"/>
      <c r="U116" s="1302"/>
      <c r="V116" s="1302"/>
      <c r="W116" s="1948"/>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1.25" hidden="1">
      <c r="A117" s="278"/>
      <c r="B117" s="278"/>
      <c r="Y117" s="1260"/>
      <c r="Z117" s="1260"/>
      <c r="AA117" s="1260"/>
      <c r="AB117" s="1260"/>
      <c r="AC117" s="1260"/>
      <c r="AD117" s="1260"/>
      <c r="AE117" s="1260"/>
      <c r="AF117" s="1260"/>
      <c r="AG117" s="1260"/>
      <c r="AH117" s="1260"/>
      <c r="AI117" s="1260"/>
      <c r="AJ117" s="1260"/>
      <c r="AK117" s="1260"/>
      <c r="AL117" s="1260"/>
      <c r="AM117" s="1260"/>
      <c r="AN117" s="1260"/>
      <c r="AO117" s="1260"/>
      <c r="AP117" s="1260"/>
      <c r="AQ117" s="1260"/>
      <c r="AR117" s="1468">
        <v>0</v>
      </c>
    </row>
    <row s="1854" customFormat="1" customHeight="1" ht="17.25" hidden="1">
      <c r="A118" s="322"/>
      <c r="C118" s="210"/>
      <c r="D118" s="2136">
        <v>1</v>
      </c>
      <c r="E118" s="2144" t="s">
        <v>282</v>
      </c>
      <c r="F118" s="2146" t="s">
        <v>19</v>
      </c>
      <c r="G118" s="2144"/>
      <c r="H118" s="2149"/>
      <c r="I118" s="2151"/>
      <c r="J118" s="2153"/>
      <c r="K118" s="2138"/>
      <c r="L118" s="2138"/>
      <c r="M118" s="2138"/>
      <c r="N118" s="2140"/>
      <c r="O118" s="2138"/>
      <c r="P118" s="2138"/>
      <c r="Q118" s="2138"/>
      <c r="R118" s="2143"/>
      <c r="S118" s="2138"/>
      <c r="T118" s="1471"/>
      <c r="U118" s="1471"/>
      <c r="V118" s="1473"/>
      <c r="W118" s="1297"/>
      <c r="Y118" s="1268"/>
      <c r="Z118" s="1268"/>
      <c r="AA118" s="1268"/>
      <c r="AB118" s="1268"/>
      <c r="AC118" s="1268" t="s">
        <v>283</v>
      </c>
      <c r="AD118" s="1268" t="s">
        <v>284</v>
      </c>
      <c r="AE118" s="1268" t="s">
        <v>285</v>
      </c>
      <c r="AF118" s="1268" t="s">
        <v>286</v>
      </c>
      <c r="AG118" s="1268"/>
      <c r="AH118" s="1268" t="str">
        <f>IF($E$118=0,"",$E$118)</f>
        <v>Тариф на горячую воду (горячее водоснабжение)</v>
      </c>
      <c r="AI118" s="1268" t="str">
        <f>IF($G$118=0,"",$G$118)</f>
        <v/>
      </c>
      <c r="AJ118" s="1268" t="str">
        <f>IF($J$118=0,"",$J$118)</f>
        <v/>
      </c>
      <c r="AK118" s="1268" t="str">
        <f>IF($K$118="нет","без дифференциации",IF($N$118=0,"",$N$118))</f>
        <v/>
      </c>
      <c r="AL118" s="1268" t="str">
        <f>IF($O$118="нет","без дифференциации",IF($R$118=0,"",$R$118))</f>
        <v/>
      </c>
      <c r="AM118" s="1268" t="str">
        <f>IF($S$118="нет","без дифференциации",IF($V$118=0,"",$V$118))</f>
        <v/>
      </c>
      <c r="AN118" s="1268">
        <f>$I$118</f>
        <v>0</v>
      </c>
      <c r="AO118" s="1268" t="str">
        <f>$I$118&amp;"."&amp;$M$118</f>
        <v>.</v>
      </c>
      <c r="AP118" s="1268" t="str">
        <f>$I$118&amp;"."&amp;$M$118&amp;"."&amp;$Q$118</f>
        <v>..</v>
      </c>
      <c r="AQ118" s="1268" t="str">
        <f>$I$118&amp;"."&amp;$M$118&amp;"."&amp;$Q$118&amp;"."&amp;$U$118</f>
        <v>...</v>
      </c>
      <c r="AR118" s="1468">
        <v>0</v>
      </c>
    </row>
    <row s="1854" customFormat="1" customHeight="1" ht="17.25" hidden="1">
      <c r="A119" s="322"/>
      <c r="C119" s="321"/>
      <c r="D119" s="2136"/>
      <c r="E119" s="2144"/>
      <c r="F119" s="2147"/>
      <c r="G119" s="2144"/>
      <c r="H119" s="2150"/>
      <c r="I119" s="2152"/>
      <c r="J119" s="2154"/>
      <c r="K119" s="2139"/>
      <c r="L119" s="2139"/>
      <c r="M119" s="2139"/>
      <c r="N119" s="2141"/>
      <c r="O119" s="2139"/>
      <c r="P119" s="2139"/>
      <c r="Q119" s="2139"/>
      <c r="R119" s="2142"/>
      <c r="S119" s="2139"/>
      <c r="T119" s="1298"/>
      <c r="U119" s="1298"/>
      <c r="V119" s="1298"/>
      <c r="W119" s="1299"/>
      <c r="Y119" s="1260"/>
      <c r="Z119" s="1260"/>
      <c r="AA119" s="1260"/>
      <c r="AB119" s="1260"/>
      <c r="AC119" s="1260"/>
      <c r="AD119" s="1260"/>
      <c r="AE119" s="1260"/>
      <c r="AF119" s="1260"/>
      <c r="AG119" s="1260"/>
      <c r="AH119" s="1260"/>
      <c r="AI119" s="1260"/>
      <c r="AJ119" s="1260"/>
      <c r="AK119" s="1260"/>
      <c r="AL119" s="1260"/>
      <c r="AM119" s="1260"/>
      <c r="AN119" s="1260"/>
      <c r="AO119" s="1260"/>
      <c r="AP119" s="1260"/>
      <c r="AQ119" s="1260"/>
      <c r="AR119" s="1468">
        <v>0</v>
      </c>
    </row>
    <row s="1854" customFormat="1" customHeight="1" ht="17.25" hidden="1">
      <c r="A120" s="322"/>
      <c r="C120" s="210"/>
      <c r="D120" s="2136"/>
      <c r="E120" s="2144"/>
      <c r="F120" s="2147"/>
      <c r="G120" s="2144"/>
      <c r="H120" s="2150"/>
      <c r="I120" s="2152"/>
      <c r="J120" s="2155"/>
      <c r="K120" s="2139"/>
      <c r="L120" s="2139"/>
      <c r="M120" s="2139"/>
      <c r="N120" s="2142"/>
      <c r="O120" s="2139"/>
      <c r="P120" s="1472"/>
      <c r="Q120" s="1298"/>
      <c r="R120" s="1298"/>
      <c r="S120" s="330"/>
      <c r="T120" s="330"/>
      <c r="U120" s="330"/>
      <c r="V120" s="330"/>
      <c r="W120" s="1299"/>
      <c r="Y120" s="1268"/>
      <c r="Z120" s="1268"/>
      <c r="AA120" s="1268"/>
      <c r="AB120" s="1268"/>
      <c r="AC120" s="1268"/>
      <c r="AD120" s="1268"/>
      <c r="AE120" s="1268"/>
      <c r="AF120" s="1268"/>
      <c r="AG120" s="1268"/>
      <c r="AH120" s="1268"/>
      <c r="AI120" s="1268"/>
      <c r="AJ120" s="1268"/>
      <c r="AK120" s="1268"/>
      <c r="AL120" s="1268"/>
      <c r="AM120" s="1268"/>
      <c r="AN120" s="1268"/>
      <c r="AO120" s="1268"/>
      <c r="AP120" s="1268"/>
      <c r="AQ120" s="1268"/>
      <c r="AR120" s="1468">
        <v>0</v>
      </c>
    </row>
    <row s="1854" customFormat="1" customHeight="1" ht="17.25" hidden="1">
      <c r="A121" s="322"/>
      <c r="C121" s="321"/>
      <c r="D121" s="2136"/>
      <c r="E121" s="2144"/>
      <c r="F121" s="2147"/>
      <c r="G121" s="2144"/>
      <c r="H121" s="2150"/>
      <c r="I121" s="2152"/>
      <c r="J121" s="2155"/>
      <c r="K121" s="2139"/>
      <c r="L121" s="1298"/>
      <c r="M121" s="1298"/>
      <c r="N121" s="1298"/>
      <c r="O121" s="1298"/>
      <c r="P121" s="1298"/>
      <c r="Q121" s="1298"/>
      <c r="R121" s="1298"/>
      <c r="S121" s="330"/>
      <c r="T121" s="330"/>
      <c r="U121" s="330"/>
      <c r="V121" s="330"/>
      <c r="W121" s="1299"/>
      <c r="Y121" s="1260"/>
      <c r="Z121" s="1260"/>
      <c r="AA121" s="1260"/>
      <c r="AB121" s="1260"/>
      <c r="AC121" s="1260"/>
      <c r="AD121" s="1260"/>
      <c r="AE121" s="1260"/>
      <c r="AF121" s="1260"/>
      <c r="AG121" s="1260"/>
      <c r="AH121" s="1260"/>
      <c r="AI121" s="1260"/>
      <c r="AJ121" s="1260"/>
      <c r="AK121" s="1260"/>
      <c r="AL121" s="1260"/>
      <c r="AM121" s="1260"/>
      <c r="AN121" s="1260"/>
      <c r="AO121" s="1260"/>
      <c r="AP121" s="1260"/>
      <c r="AQ121" s="1260"/>
      <c r="AR121" s="1468">
        <v>0</v>
      </c>
    </row>
    <row s="1854" customFormat="1" customHeight="1" ht="17.25" hidden="1">
      <c r="A122" s="322"/>
      <c r="C122" s="321"/>
      <c r="D122" s="2137"/>
      <c r="E122" s="2145"/>
      <c r="F122" s="2148"/>
      <c r="G122" s="2145"/>
      <c r="H122" s="1300"/>
      <c r="I122" s="1301"/>
      <c r="J122" s="1301"/>
      <c r="K122" s="1301"/>
      <c r="L122" s="1301"/>
      <c r="M122" s="1301"/>
      <c r="N122" s="1301"/>
      <c r="O122" s="1301"/>
      <c r="P122" s="1301"/>
      <c r="Q122" s="1301"/>
      <c r="R122" s="1301"/>
      <c r="S122" s="1302"/>
      <c r="T122" s="1302"/>
      <c r="U122" s="1302"/>
      <c r="V122" s="1302"/>
      <c r="W122" s="1303"/>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v>2</v>
      </c>
      <c r="E123" s="2144" t="s">
        <v>287</v>
      </c>
      <c r="F123" s="2146" t="s">
        <v>19</v>
      </c>
      <c r="G123" s="2144"/>
      <c r="H123" s="2149"/>
      <c r="I123" s="2151"/>
      <c r="J123" s="2153"/>
      <c r="K123" s="2138"/>
      <c r="L123" s="2138"/>
      <c r="M123" s="2138"/>
      <c r="N123" s="2140"/>
      <c r="O123" s="2138"/>
      <c r="P123" s="2138"/>
      <c r="Q123" s="2138"/>
      <c r="R123" s="2143"/>
      <c r="S123" s="2138"/>
      <c r="T123" s="1471"/>
      <c r="U123" s="1471"/>
      <c r="V123" s="1473"/>
      <c r="W123" s="1297"/>
      <c r="X123" s="1268"/>
      <c r="Y123" s="1268"/>
      <c r="Z123" s="1268"/>
      <c r="AA123" s="1268"/>
      <c r="AB123" s="1268"/>
      <c r="AC123" s="1268" t="s">
        <v>288</v>
      </c>
      <c r="AD123" s="1268" t="s">
        <v>289</v>
      </c>
      <c r="AE123" s="1268" t="s">
        <v>290</v>
      </c>
      <c r="AF123" s="1268" t="s">
        <v>291</v>
      </c>
      <c r="AG123" s="1268"/>
      <c r="AH123" s="1268" t="str">
        <f>IF($E$123=0,"",$E$123)</f>
        <v>Тариф на транспортировку горячей воды</v>
      </c>
      <c r="AI123" s="1268" t="str">
        <f>IF($G$123=0,"",$G$123)</f>
        <v/>
      </c>
      <c r="AJ123" s="1268" t="str">
        <f>IF($J$123=0,"",$J$123)</f>
        <v/>
      </c>
      <c r="AK123" s="1268" t="str">
        <f>IF($K$123="нет","без дифференциации",IF($N$123=0,"",$N$123))</f>
        <v/>
      </c>
      <c r="AL123" s="1268" t="str">
        <f>IF($O$123="нет","без дифференциации",IF($R$123=0,"",$R$123))</f>
        <v/>
      </c>
      <c r="AM123" s="1268" t="str">
        <f>IF($S$123="нет","без дифференциации",IF($V$123=0,"",$V$123))</f>
        <v/>
      </c>
      <c r="AN123" s="1773">
        <f>$I$123</f>
        <v>0</v>
      </c>
      <c r="AO123" s="1268" t="str">
        <f>$I$123&amp;"."&amp;$M$123</f>
        <v>.</v>
      </c>
      <c r="AP123" s="1260" t="str">
        <f>$I$123&amp;"."&amp;$M$123&amp;"."&amp;$Q$123</f>
        <v>..</v>
      </c>
      <c r="AQ123" s="1260" t="str">
        <f>$I$123&amp;"."&amp;$M$123&amp;"."&amp;$Q$123&amp;"."&amp;$U$123</f>
        <v>...</v>
      </c>
      <c r="AR123" s="1468">
        <v>0</v>
      </c>
    </row>
    <row s="1854" customFormat="1" customHeight="1" ht="17.25" hidden="1">
      <c r="A124" s="322"/>
      <c r="C124" s="321"/>
      <c r="D124" s="2136"/>
      <c r="E124" s="2144"/>
      <c r="F124" s="2147"/>
      <c r="G124" s="2144"/>
      <c r="H124" s="2150"/>
      <c r="I124" s="2152"/>
      <c r="J124" s="2154"/>
      <c r="K124" s="2139"/>
      <c r="L124" s="2139"/>
      <c r="M124" s="2139"/>
      <c r="N124" s="2141"/>
      <c r="O124" s="2139"/>
      <c r="P124" s="2139"/>
      <c r="Q124" s="2139"/>
      <c r="R124" s="2142"/>
      <c r="S124" s="2139"/>
      <c r="T124" s="1298"/>
      <c r="U124" s="1298"/>
      <c r="V124" s="1298"/>
      <c r="W124" s="1299"/>
      <c r="X124" s="1260"/>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7"/>
      <c r="G125" s="2145"/>
      <c r="H125" s="2150"/>
      <c r="I125" s="2152"/>
      <c r="J125" s="2155"/>
      <c r="K125" s="2139"/>
      <c r="L125" s="2139"/>
      <c r="M125" s="2139"/>
      <c r="N125" s="2142"/>
      <c r="O125" s="2139"/>
      <c r="P125" s="1472"/>
      <c r="Q125" s="1298"/>
      <c r="R125" s="1298"/>
      <c r="S125" s="330"/>
      <c r="T125" s="330"/>
      <c r="U125" s="330"/>
      <c r="V125" s="330"/>
      <c r="W125" s="1299"/>
      <c r="X125" s="1260"/>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321"/>
      <c r="D126" s="2137"/>
      <c r="E126" s="2145"/>
      <c r="F126" s="2147"/>
      <c r="G126" s="2145"/>
      <c r="H126" s="2150"/>
      <c r="I126" s="2152"/>
      <c r="J126" s="2155"/>
      <c r="K126" s="2139"/>
      <c r="L126" s="1298"/>
      <c r="M126" s="1298"/>
      <c r="N126" s="1298"/>
      <c r="O126" s="1298"/>
      <c r="P126" s="1298"/>
      <c r="Q126" s="1298"/>
      <c r="R126" s="1298"/>
      <c r="S126" s="330"/>
      <c r="T126" s="330"/>
      <c r="U126" s="330"/>
      <c r="V126" s="330"/>
      <c r="W126" s="1299"/>
      <c r="X126" s="1260"/>
      <c r="Y126" s="1260"/>
      <c r="Z126" s="1260"/>
      <c r="AA126" s="1260"/>
      <c r="AB126" s="1260"/>
      <c r="AC126" s="1260"/>
      <c r="AD126" s="1260"/>
      <c r="AE126" s="1260"/>
      <c r="AF126" s="1260"/>
      <c r="AG126" s="1260"/>
      <c r="AH126" s="1260"/>
      <c r="AI126" s="1260"/>
      <c r="AJ126" s="1260"/>
      <c r="AK126" s="1260"/>
      <c r="AL126" s="1260"/>
      <c r="AM126" s="1260"/>
      <c r="AN126" s="1260"/>
      <c r="AO126" s="1260"/>
      <c r="AP126" s="1260"/>
      <c r="AQ126" s="1260"/>
      <c r="AR126" s="1468">
        <v>0</v>
      </c>
    </row>
    <row s="1854" customFormat="1" customHeight="1" ht="17.25" hidden="1">
      <c r="A127" s="322"/>
      <c r="C127" s="321"/>
      <c r="D127" s="2137"/>
      <c r="E127" s="2145"/>
      <c r="F127" s="2148"/>
      <c r="G127" s="2145"/>
      <c r="H127" s="1300"/>
      <c r="I127" s="1301"/>
      <c r="J127" s="1301"/>
      <c r="K127" s="1301"/>
      <c r="L127" s="1301"/>
      <c r="M127" s="1301"/>
      <c r="N127" s="1301"/>
      <c r="O127" s="1301"/>
      <c r="P127" s="1301"/>
      <c r="Q127" s="1301"/>
      <c r="R127" s="1301"/>
      <c r="S127" s="1302"/>
      <c r="T127" s="1302"/>
      <c r="U127" s="1302"/>
      <c r="V127" s="1302"/>
      <c r="W127" s="1303"/>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210"/>
      <c r="D128" s="2136">
        <v>3</v>
      </c>
      <c r="E128" s="2144" t="s">
        <v>292</v>
      </c>
      <c r="F128" s="2146" t="s">
        <v>19</v>
      </c>
      <c r="G128" s="2144"/>
      <c r="H128" s="2149"/>
      <c r="I128" s="2151"/>
      <c r="J128" s="2153"/>
      <c r="K128" s="2138"/>
      <c r="L128" s="2138"/>
      <c r="M128" s="2138"/>
      <c r="N128" s="2140"/>
      <c r="O128" s="2138"/>
      <c r="P128" s="2138"/>
      <c r="Q128" s="2138"/>
      <c r="R128" s="2143"/>
      <c r="S128" s="2138"/>
      <c r="T128" s="1944"/>
      <c r="U128" s="1944"/>
      <c r="V128" s="1946"/>
      <c r="W128" s="1297"/>
      <c r="X128" s="1268"/>
      <c r="Y128" s="1268"/>
      <c r="Z128" s="1268"/>
      <c r="AA128" s="1268"/>
      <c r="AB128" s="1268"/>
      <c r="AC128" s="1268" t="s">
        <v>293</v>
      </c>
      <c r="AD128" s="1268" t="s">
        <v>294</v>
      </c>
      <c r="AE128" s="1268" t="s">
        <v>295</v>
      </c>
      <c r="AF128" s="1268" t="s">
        <v>296</v>
      </c>
      <c r="AG128" s="1268"/>
      <c r="AH128" s="1268" t="str">
        <f>IF($E$128=0,"",$E$128)</f>
        <v>Тариф на подключение (технологическое присоединение) к централизованной системе горячего водоснабжения</v>
      </c>
      <c r="AI128" s="1268" t="str">
        <f>IF($G$128=0,"",$G$128)</f>
        <v/>
      </c>
      <c r="AJ128" s="1268" t="str">
        <f>IF($J$128=0,"",$J$128)</f>
        <v/>
      </c>
      <c r="AK128" s="1268" t="str">
        <f>IF($K$128="нет","без дифференциации",IF($N$128=0,"",$N$128))</f>
        <v/>
      </c>
      <c r="AL128" s="1268" t="str">
        <f>IF($O$128="нет","без дифференциации",IF($R$128=0,"",$R$128))</f>
        <v/>
      </c>
      <c r="AM128" s="1268" t="str">
        <f>IF($S$128="нет","без дифференциации",IF($V$128=0,"",$V$128))</f>
        <v/>
      </c>
      <c r="AN128" s="1773">
        <f>$I$128</f>
        <v>0</v>
      </c>
      <c r="AO128" s="1268" t="str">
        <f>$I$128&amp;"."&amp;$M$128</f>
        <v>.</v>
      </c>
      <c r="AP128" s="1267" t="str">
        <f>$I$128&amp;"."&amp;$M$128&amp;"."&amp;$Q$128</f>
        <v>..</v>
      </c>
      <c r="AQ128" s="1267" t="str">
        <f>$I$128&amp;"."&amp;$M$128&amp;"."&amp;$Q$128&amp;"."&amp;$U$128</f>
        <v>...</v>
      </c>
      <c r="AR128" s="1468">
        <v>0</v>
      </c>
    </row>
    <row s="1854" customFormat="1" customHeight="1" ht="17.25" hidden="1">
      <c r="A129" s="322"/>
      <c r="C129" s="321"/>
      <c r="D129" s="2136"/>
      <c r="E129" s="2144"/>
      <c r="F129" s="2147"/>
      <c r="G129" s="2144"/>
      <c r="H129" s="2150"/>
      <c r="I129" s="2152"/>
      <c r="J129" s="2154"/>
      <c r="K129" s="2139"/>
      <c r="L129" s="2139"/>
      <c r="M129" s="2139"/>
      <c r="N129" s="2141"/>
      <c r="O129" s="2139"/>
      <c r="P129" s="2139"/>
      <c r="Q129" s="2139"/>
      <c r="R129" s="2142"/>
      <c r="S129" s="2139"/>
      <c r="T129" s="1949"/>
      <c r="U129" s="1949"/>
      <c r="V129" s="1949"/>
      <c r="W129" s="1950"/>
      <c r="X129" s="1267"/>
      <c r="Y129" s="1267"/>
      <c r="Z129" s="1267"/>
      <c r="AA129" s="1267"/>
      <c r="AB129" s="1267"/>
      <c r="AC129" s="1267"/>
      <c r="AD129" s="1267"/>
      <c r="AE129" s="1267"/>
      <c r="AF129" s="1267"/>
      <c r="AG129" s="1267"/>
      <c r="AH129" s="1267"/>
      <c r="AI129" s="1267"/>
      <c r="AJ129" s="1267"/>
      <c r="AK129" s="1267"/>
      <c r="AL129" s="1267"/>
      <c r="AM129" s="1267"/>
      <c r="AN129" s="1267"/>
      <c r="AO129" s="1267"/>
      <c r="AP129" s="1267"/>
      <c r="AQ129" s="1267"/>
      <c r="AR129" s="1468">
        <v>0</v>
      </c>
    </row>
    <row s="1854" customFormat="1" customHeight="1" ht="17.25" hidden="1">
      <c r="A130" s="322"/>
      <c r="C130" s="321"/>
      <c r="D130" s="2137"/>
      <c r="E130" s="2145"/>
      <c r="F130" s="2147"/>
      <c r="G130" s="2145"/>
      <c r="H130" s="2150"/>
      <c r="I130" s="2152"/>
      <c r="J130" s="2155"/>
      <c r="K130" s="2139"/>
      <c r="L130" s="2139"/>
      <c r="M130" s="2139"/>
      <c r="N130" s="2142"/>
      <c r="O130" s="2139"/>
      <c r="P130" s="1945"/>
      <c r="Q130" s="1949"/>
      <c r="R130" s="1949"/>
      <c r="S130" s="330"/>
      <c r="T130" s="330"/>
      <c r="U130" s="330"/>
      <c r="V130" s="330"/>
      <c r="W130" s="1950"/>
      <c r="X130" s="1267"/>
      <c r="Y130" s="1267"/>
      <c r="Z130" s="1267"/>
      <c r="AA130" s="1267"/>
      <c r="AB130" s="1267"/>
      <c r="AC130" s="1267"/>
      <c r="AD130" s="1267"/>
      <c r="AE130" s="1267"/>
      <c r="AF130" s="1267"/>
      <c r="AG130" s="1267"/>
      <c r="AH130" s="1267"/>
      <c r="AI130" s="1267"/>
      <c r="AJ130" s="1267"/>
      <c r="AK130" s="1267"/>
      <c r="AL130" s="1267"/>
      <c r="AM130" s="1267"/>
      <c r="AN130" s="1267"/>
      <c r="AO130" s="1267"/>
      <c r="AP130" s="1267"/>
      <c r="AQ130" s="1267"/>
      <c r="AR130" s="1468">
        <v>0</v>
      </c>
    </row>
    <row s="1854" customFormat="1" customHeight="1" ht="17.25" hidden="1">
      <c r="A131" s="322"/>
      <c r="C131" s="321"/>
      <c r="D131" s="2137"/>
      <c r="E131" s="2145"/>
      <c r="F131" s="2147"/>
      <c r="G131" s="2145"/>
      <c r="H131" s="2150"/>
      <c r="I131" s="2152"/>
      <c r="J131" s="2155"/>
      <c r="K131" s="2139"/>
      <c r="L131" s="1949"/>
      <c r="M131" s="1949"/>
      <c r="N131" s="1949"/>
      <c r="O131" s="1949"/>
      <c r="P131" s="1949"/>
      <c r="Q131" s="1949"/>
      <c r="R131" s="1949"/>
      <c r="S131" s="330"/>
      <c r="T131" s="330"/>
      <c r="U131" s="330"/>
      <c r="V131" s="330"/>
      <c r="W131" s="1950"/>
      <c r="X131" s="1267"/>
      <c r="Y131" s="1267"/>
      <c r="Z131" s="1267"/>
      <c r="AA131" s="1267"/>
      <c r="AB131" s="1267"/>
      <c r="AC131" s="1267"/>
      <c r="AD131" s="1267"/>
      <c r="AE131" s="1267"/>
      <c r="AF131" s="1267"/>
      <c r="AG131" s="1267"/>
      <c r="AH131" s="1267"/>
      <c r="AI131" s="1267"/>
      <c r="AJ131" s="1267"/>
      <c r="AK131" s="1267"/>
      <c r="AL131" s="1267"/>
      <c r="AM131" s="1267"/>
      <c r="AN131" s="1267"/>
      <c r="AO131" s="1267"/>
      <c r="AP131" s="1267"/>
      <c r="AQ131" s="1267"/>
      <c r="AR131" s="1468">
        <v>0</v>
      </c>
    </row>
    <row s="1854" customFormat="1" customHeight="1" ht="17.25" hidden="1">
      <c r="A132" s="322"/>
      <c r="C132" s="321"/>
      <c r="D132" s="2137"/>
      <c r="E132" s="2145"/>
      <c r="F132" s="2148"/>
      <c r="G132" s="2145"/>
      <c r="H132" s="1300"/>
      <c r="I132" s="1947"/>
      <c r="J132" s="1947"/>
      <c r="K132" s="1947"/>
      <c r="L132" s="1947"/>
      <c r="M132" s="1947"/>
      <c r="N132" s="1947"/>
      <c r="O132" s="1947"/>
      <c r="P132" s="1947"/>
      <c r="Q132" s="1947"/>
      <c r="R132" s="1947"/>
      <c r="S132" s="1302"/>
      <c r="T132" s="1302"/>
      <c r="U132" s="1302"/>
      <c r="V132" s="1302"/>
      <c r="W132" s="1948"/>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1.25" hidden="1">
      <c r="A133" s="278"/>
      <c r="B133" s="278"/>
      <c r="Y133" s="1260"/>
      <c r="Z133" s="1260"/>
      <c r="AA133" s="1260"/>
      <c r="AB133" s="1260"/>
      <c r="AC133" s="1260"/>
      <c r="AD133" s="1260"/>
      <c r="AE133" s="1260"/>
      <c r="AF133" s="1260"/>
      <c r="AG133" s="1260"/>
      <c r="AH133" s="1260"/>
      <c r="AI133" s="1260"/>
      <c r="AJ133" s="1260"/>
      <c r="AK133" s="1260"/>
      <c r="AL133" s="1260"/>
      <c r="AM133" s="1260"/>
      <c r="AN133" s="1260"/>
      <c r="AO133" s="1260"/>
      <c r="AP133" s="1260"/>
      <c r="AQ133" s="1260"/>
      <c r="AR133" s="1468">
        <v>0</v>
      </c>
    </row>
    <row s="1854" customFormat="1" customHeight="1" ht="17.25" hidden="1">
      <c r="A134" s="322"/>
      <c r="C134" s="210"/>
      <c r="D134" s="2136">
        <v>1</v>
      </c>
      <c r="E134" s="2144" t="s">
        <v>297</v>
      </c>
      <c r="F134" s="2146" t="s">
        <v>19</v>
      </c>
      <c r="G134" s="2144"/>
      <c r="H134" s="2149"/>
      <c r="I134" s="2151"/>
      <c r="J134" s="2153"/>
      <c r="K134" s="2138"/>
      <c r="L134" s="2138"/>
      <c r="M134" s="2138"/>
      <c r="N134" s="2140"/>
      <c r="O134" s="2138"/>
      <c r="P134" s="2138"/>
      <c r="Q134" s="2138"/>
      <c r="R134" s="2143"/>
      <c r="S134" s="2138"/>
      <c r="T134" s="1471"/>
      <c r="U134" s="1471"/>
      <c r="V134" s="1473"/>
      <c r="W134" s="1297"/>
      <c r="Y134" s="1268"/>
      <c r="Z134" s="1268"/>
      <c r="AA134" s="1268"/>
      <c r="AB134" s="1268"/>
      <c r="AC134" s="1268" t="s">
        <v>298</v>
      </c>
      <c r="AD134" s="1268" t="s">
        <v>299</v>
      </c>
      <c r="AE134" s="1268" t="s">
        <v>300</v>
      </c>
      <c r="AF134" s="1268" t="s">
        <v>301</v>
      </c>
      <c r="AG134" s="1268"/>
      <c r="AH134" s="1268" t="str">
        <f>IF($E$134=0,"",$E$134)</f>
        <v>Тариф на водоотведение</v>
      </c>
      <c r="AI134" s="1268" t="str">
        <f>IF($G$134=0,"",$G$134)</f>
        <v/>
      </c>
      <c r="AJ134" s="1268" t="str">
        <f>IF($J$134=0,"",$J$134)</f>
        <v/>
      </c>
      <c r="AK134" s="1268" t="str">
        <f>IF($K$134="нет","без дифференциации",IF($N$134=0,"",$N$134))</f>
        <v/>
      </c>
      <c r="AL134" s="1268" t="str">
        <f>IF($O$134="нет","без дифференциации",IF($R$134=0,"",$R$134))</f>
        <v/>
      </c>
      <c r="AM134" s="1268" t="str">
        <f>IF($S$134="нет","без дифференциации",IF($V$134=0,"",$V$134))</f>
        <v/>
      </c>
      <c r="AN134" s="1268">
        <f>$I$134</f>
        <v>0</v>
      </c>
      <c r="AO134" s="1268" t="str">
        <f>$I$134&amp;"."&amp;$M$134</f>
        <v>.</v>
      </c>
      <c r="AP134" s="1268" t="str">
        <f>$I$134&amp;"."&amp;$M$134&amp;"."&amp;$Q$134</f>
        <v>..</v>
      </c>
      <c r="AQ134" s="1268" t="str">
        <f>$I$134&amp;"."&amp;$M$134&amp;"."&amp;$Q$134&amp;"."&amp;$U$134</f>
        <v>...</v>
      </c>
      <c r="AR134" s="1468">
        <v>0</v>
      </c>
    </row>
    <row s="1854" customFormat="1" customHeight="1" ht="17.25" hidden="1">
      <c r="A135" s="322"/>
      <c r="C135" s="321"/>
      <c r="D135" s="2136"/>
      <c r="E135" s="2144"/>
      <c r="F135" s="2147"/>
      <c r="G135" s="2144"/>
      <c r="H135" s="2150"/>
      <c r="I135" s="2152"/>
      <c r="J135" s="2154"/>
      <c r="K135" s="2139"/>
      <c r="L135" s="2139"/>
      <c r="M135" s="2139"/>
      <c r="N135" s="2141"/>
      <c r="O135" s="2139"/>
      <c r="P135" s="2139"/>
      <c r="Q135" s="2139"/>
      <c r="R135" s="2142"/>
      <c r="S135" s="2139"/>
      <c r="T135" s="1298"/>
      <c r="U135" s="1298"/>
      <c r="V135" s="1298"/>
      <c r="W135" s="1299"/>
      <c r="Y135" s="1260"/>
      <c r="Z135" s="1260"/>
      <c r="AA135" s="1260"/>
      <c r="AB135" s="1260"/>
      <c r="AC135" s="1260"/>
      <c r="AD135" s="1260"/>
      <c r="AE135" s="1260"/>
      <c r="AF135" s="1260"/>
      <c r="AG135" s="1260"/>
      <c r="AH135" s="1260"/>
      <c r="AI135" s="1260"/>
      <c r="AJ135" s="1260"/>
      <c r="AK135" s="1260"/>
      <c r="AL135" s="1260"/>
      <c r="AM135" s="1260"/>
      <c r="AN135" s="1260"/>
      <c r="AO135" s="1260"/>
      <c r="AP135" s="1260"/>
      <c r="AQ135" s="1260"/>
      <c r="AR135" s="1468">
        <v>0</v>
      </c>
    </row>
    <row s="1854" customFormat="1" customHeight="1" ht="17.25" hidden="1">
      <c r="A136" s="322"/>
      <c r="C136" s="210"/>
      <c r="D136" s="2136"/>
      <c r="E136" s="2144"/>
      <c r="F136" s="2147"/>
      <c r="G136" s="2144"/>
      <c r="H136" s="2150"/>
      <c r="I136" s="2152"/>
      <c r="J136" s="2155"/>
      <c r="K136" s="2139"/>
      <c r="L136" s="2139"/>
      <c r="M136" s="2139"/>
      <c r="N136" s="2142"/>
      <c r="O136" s="2139"/>
      <c r="P136" s="1472"/>
      <c r="Q136" s="1298"/>
      <c r="R136" s="1298"/>
      <c r="S136" s="330"/>
      <c r="T136" s="330"/>
      <c r="U136" s="330"/>
      <c r="V136" s="330"/>
      <c r="W136" s="1299"/>
      <c r="Y136" s="1268"/>
      <c r="Z136" s="1268"/>
      <c r="AA136" s="1268"/>
      <c r="AB136" s="1268"/>
      <c r="AC136" s="1268"/>
      <c r="AD136" s="1268"/>
      <c r="AE136" s="1268"/>
      <c r="AF136" s="1268"/>
      <c r="AG136" s="1268"/>
      <c r="AH136" s="1268"/>
      <c r="AI136" s="1268"/>
      <c r="AJ136" s="1268"/>
      <c r="AK136" s="1268"/>
      <c r="AL136" s="1268"/>
      <c r="AM136" s="1268"/>
      <c r="AN136" s="1268"/>
      <c r="AO136" s="1268"/>
      <c r="AP136" s="1268"/>
      <c r="AQ136" s="1268"/>
      <c r="AR136" s="1468">
        <v>0</v>
      </c>
    </row>
    <row s="1854" customFormat="1" customHeight="1" ht="17.25" hidden="1">
      <c r="A137" s="322"/>
      <c r="C137" s="321"/>
      <c r="D137" s="2136"/>
      <c r="E137" s="2144"/>
      <c r="F137" s="2147"/>
      <c r="G137" s="2144"/>
      <c r="H137" s="2150"/>
      <c r="I137" s="2152"/>
      <c r="J137" s="2155"/>
      <c r="K137" s="2139"/>
      <c r="L137" s="1298"/>
      <c r="M137" s="1298"/>
      <c r="N137" s="1298"/>
      <c r="O137" s="1298"/>
      <c r="P137" s="1298"/>
      <c r="Q137" s="1298"/>
      <c r="R137" s="1298"/>
      <c r="S137" s="330"/>
      <c r="T137" s="330"/>
      <c r="U137" s="330"/>
      <c r="V137" s="330"/>
      <c r="W137" s="1299"/>
      <c r="Y137" s="1260"/>
      <c r="Z137" s="1260"/>
      <c r="AA137" s="1260"/>
      <c r="AB137" s="1260"/>
      <c r="AC137" s="1260"/>
      <c r="AD137" s="1260"/>
      <c r="AE137" s="1260"/>
      <c r="AF137" s="1260"/>
      <c r="AG137" s="1260"/>
      <c r="AH137" s="1260"/>
      <c r="AI137" s="1260"/>
      <c r="AJ137" s="1260"/>
      <c r="AK137" s="1260"/>
      <c r="AL137" s="1260"/>
      <c r="AM137" s="1260"/>
      <c r="AN137" s="1260"/>
      <c r="AO137" s="1260"/>
      <c r="AP137" s="1260"/>
      <c r="AQ137" s="1260"/>
      <c r="AR137" s="1468">
        <v>0</v>
      </c>
    </row>
    <row s="1854" customFormat="1" customHeight="1" ht="17.25" hidden="1">
      <c r="A138" s="322"/>
      <c r="C138" s="321"/>
      <c r="D138" s="2137"/>
      <c r="E138" s="2145"/>
      <c r="F138" s="2148"/>
      <c r="G138" s="2145"/>
      <c r="H138" s="1300"/>
      <c r="I138" s="1301"/>
      <c r="J138" s="1301"/>
      <c r="K138" s="1301"/>
      <c r="L138" s="1301"/>
      <c r="M138" s="1301"/>
      <c r="N138" s="1301"/>
      <c r="O138" s="1301"/>
      <c r="P138" s="1301"/>
      <c r="Q138" s="1301"/>
      <c r="R138" s="1301"/>
      <c r="S138" s="1302"/>
      <c r="T138" s="1302"/>
      <c r="U138" s="1302"/>
      <c r="V138" s="1302"/>
      <c r="W138" s="1303"/>
      <c r="Y138" s="1260"/>
      <c r="Z138" s="1260"/>
      <c r="AA138" s="1260"/>
      <c r="AB138" s="1260"/>
      <c r="AC138" s="1260"/>
      <c r="AD138" s="1260"/>
      <c r="AE138" s="1260"/>
      <c r="AF138" s="1260"/>
      <c r="AG138" s="1260"/>
      <c r="AH138" s="1260"/>
      <c r="AI138" s="1260"/>
      <c r="AJ138" s="1260"/>
      <c r="AK138" s="1260"/>
      <c r="AL138" s="1260"/>
      <c r="AM138" s="1260"/>
      <c r="AN138" s="1260"/>
      <c r="AO138" s="1260"/>
      <c r="AP138" s="1260"/>
      <c r="AQ138" s="1260"/>
      <c r="AR138" s="1468">
        <v>0</v>
      </c>
    </row>
    <row s="1854" customFormat="1" customHeight="1" ht="17.25" hidden="1">
      <c r="A139" s="322"/>
      <c r="C139" s="210"/>
      <c r="D139" s="2136">
        <v>2</v>
      </c>
      <c r="E139" s="2144" t="s">
        <v>302</v>
      </c>
      <c r="F139" s="2146" t="s">
        <v>19</v>
      </c>
      <c r="G139" s="2144"/>
      <c r="H139" s="2149"/>
      <c r="I139" s="2151"/>
      <c r="J139" s="2153"/>
      <c r="K139" s="2138"/>
      <c r="L139" s="2138"/>
      <c r="M139" s="2138"/>
      <c r="N139" s="2140"/>
      <c r="O139" s="2138"/>
      <c r="P139" s="2138"/>
      <c r="Q139" s="2138"/>
      <c r="R139" s="2143"/>
      <c r="S139" s="2138"/>
      <c r="T139" s="1471"/>
      <c r="U139" s="1471"/>
      <c r="V139" s="1473"/>
      <c r="W139" s="1297"/>
      <c r="X139" s="1268"/>
      <c r="Y139" s="1268"/>
      <c r="Z139" s="1268"/>
      <c r="AA139" s="1268"/>
      <c r="AB139" s="1268"/>
      <c r="AC139" s="1268" t="s">
        <v>303</v>
      </c>
      <c r="AD139" s="1268" t="s">
        <v>304</v>
      </c>
      <c r="AE139" s="1268" t="s">
        <v>305</v>
      </c>
      <c r="AF139" s="1268" t="s">
        <v>306</v>
      </c>
      <c r="AG139" s="1268"/>
      <c r="AH139" s="1268" t="str">
        <f>IF($E$139=0,"",$E$139)</f>
        <v>Тариф на транспортировку сточных вод</v>
      </c>
      <c r="AI139" s="1268" t="str">
        <f>IF($G$139=0,"",$G$139)</f>
        <v/>
      </c>
      <c r="AJ139" s="1268" t="str">
        <f>IF($J$139=0,"",$J$139)</f>
        <v/>
      </c>
      <c r="AK139" s="1268" t="str">
        <f>IF($K$139="нет","без дифференциации",IF($N$139=0,"",$N$139))</f>
        <v/>
      </c>
      <c r="AL139" s="1268" t="str">
        <f>IF($O$139="нет","без дифференциации",IF($R$139=0,"",$R$139))</f>
        <v/>
      </c>
      <c r="AM139" s="1268" t="str">
        <f>IF($S$139="нет","без дифференциации",IF($V$139=0,"",$V$139))</f>
        <v/>
      </c>
      <c r="AN139" s="1773">
        <f>$I$139</f>
        <v>0</v>
      </c>
      <c r="AO139" s="1268" t="str">
        <f>$I$139&amp;"."&amp;$M$139</f>
        <v>.</v>
      </c>
      <c r="AP139" s="1260" t="str">
        <f>$I$139&amp;"."&amp;$M$139&amp;"."&amp;$Q$139</f>
        <v>..</v>
      </c>
      <c r="AQ139" s="1260" t="str">
        <f>$I$139&amp;"."&amp;$M$139&amp;"."&amp;$Q$139&amp;"."&amp;$U$139</f>
        <v>...</v>
      </c>
      <c r="AR139" s="1468">
        <v>0</v>
      </c>
    </row>
    <row s="1854" customFormat="1" customHeight="1" ht="17.25" hidden="1">
      <c r="A140" s="322"/>
      <c r="C140" s="321"/>
      <c r="D140" s="2136"/>
      <c r="E140" s="2144"/>
      <c r="F140" s="2147"/>
      <c r="G140" s="2144"/>
      <c r="H140" s="2150"/>
      <c r="I140" s="2152"/>
      <c r="J140" s="2154"/>
      <c r="K140" s="2139"/>
      <c r="L140" s="2139"/>
      <c r="M140" s="2139"/>
      <c r="N140" s="2141"/>
      <c r="O140" s="2139"/>
      <c r="P140" s="2139"/>
      <c r="Q140" s="2139"/>
      <c r="R140" s="2142"/>
      <c r="S140" s="2139"/>
      <c r="T140" s="1298"/>
      <c r="U140" s="1298"/>
      <c r="V140" s="1298"/>
      <c r="W140" s="1299"/>
      <c r="X140" s="1260"/>
      <c r="Y140" s="1260"/>
      <c r="Z140" s="1260"/>
      <c r="AA140" s="1260"/>
      <c r="AB140" s="1260"/>
      <c r="AC140" s="1260"/>
      <c r="AD140" s="1260"/>
      <c r="AE140" s="1260"/>
      <c r="AF140" s="1260"/>
      <c r="AG140" s="1260"/>
      <c r="AH140" s="1260"/>
      <c r="AI140" s="1260"/>
      <c r="AJ140" s="1260"/>
      <c r="AK140" s="1260"/>
      <c r="AL140" s="1260"/>
      <c r="AM140" s="1260"/>
      <c r="AN140" s="1260"/>
      <c r="AO140" s="1260"/>
      <c r="AP140" s="1260"/>
      <c r="AQ140" s="1260"/>
      <c r="AR140" s="1468">
        <v>0</v>
      </c>
    </row>
    <row s="1854" customFormat="1" customHeight="1" ht="17.25" hidden="1">
      <c r="A141" s="322"/>
      <c r="C141" s="321"/>
      <c r="D141" s="2137"/>
      <c r="E141" s="2145"/>
      <c r="F141" s="2147"/>
      <c r="G141" s="2145"/>
      <c r="H141" s="2150"/>
      <c r="I141" s="2152"/>
      <c r="J141" s="2155"/>
      <c r="K141" s="2139"/>
      <c r="L141" s="2139"/>
      <c r="M141" s="2139"/>
      <c r="N141" s="2142"/>
      <c r="O141" s="2139"/>
      <c r="P141" s="1472"/>
      <c r="Q141" s="1298"/>
      <c r="R141" s="1298"/>
      <c r="S141" s="330"/>
      <c r="T141" s="330"/>
      <c r="U141" s="330"/>
      <c r="V141" s="330"/>
      <c r="W141" s="1299"/>
      <c r="X141" s="1260"/>
      <c r="Y141" s="1260"/>
      <c r="Z141" s="1260"/>
      <c r="AA141" s="1260"/>
      <c r="AB141" s="1260"/>
      <c r="AC141" s="1260"/>
      <c r="AD141" s="1260"/>
      <c r="AE141" s="1260"/>
      <c r="AF141" s="1260"/>
      <c r="AG141" s="1260"/>
      <c r="AH141" s="1260"/>
      <c r="AI141" s="1260"/>
      <c r="AJ141" s="1260"/>
      <c r="AK141" s="1260"/>
      <c r="AL141" s="1260"/>
      <c r="AM141" s="1260"/>
      <c r="AN141" s="1260"/>
      <c r="AO141" s="1260"/>
      <c r="AP141" s="1260"/>
      <c r="AQ141" s="1260"/>
      <c r="AR141" s="1468">
        <v>0</v>
      </c>
    </row>
    <row s="1854" customFormat="1" customHeight="1" ht="17.25" hidden="1">
      <c r="A142" s="322"/>
      <c r="C142" s="321"/>
      <c r="D142" s="2137"/>
      <c r="E142" s="2145"/>
      <c r="F142" s="2147"/>
      <c r="G142" s="2145"/>
      <c r="H142" s="2150"/>
      <c r="I142" s="2152"/>
      <c r="J142" s="2155"/>
      <c r="K142" s="2139"/>
      <c r="L142" s="1298"/>
      <c r="M142" s="1298"/>
      <c r="N142" s="1298"/>
      <c r="O142" s="1298"/>
      <c r="P142" s="1298"/>
      <c r="Q142" s="1298"/>
      <c r="R142" s="1298"/>
      <c r="S142" s="330"/>
      <c r="T142" s="330"/>
      <c r="U142" s="330"/>
      <c r="V142" s="330"/>
      <c r="W142" s="1299"/>
      <c r="X142" s="1260"/>
      <c r="Y142" s="1260"/>
      <c r="Z142" s="1260"/>
      <c r="AA142" s="1260"/>
      <c r="AB142" s="1260"/>
      <c r="AC142" s="1260"/>
      <c r="AD142" s="1260"/>
      <c r="AE142" s="1260"/>
      <c r="AF142" s="1260"/>
      <c r="AG142" s="1260"/>
      <c r="AH142" s="1260"/>
      <c r="AI142" s="1260"/>
      <c r="AJ142" s="1260"/>
      <c r="AK142" s="1260"/>
      <c r="AL142" s="1260"/>
      <c r="AM142" s="1260"/>
      <c r="AN142" s="1260"/>
      <c r="AO142" s="1260"/>
      <c r="AP142" s="1260"/>
      <c r="AQ142" s="1260"/>
      <c r="AR142" s="1468">
        <v>0</v>
      </c>
    </row>
    <row s="1854" customFormat="1" customHeight="1" ht="17.25" hidden="1">
      <c r="A143" s="322"/>
      <c r="C143" s="321"/>
      <c r="D143" s="2137"/>
      <c r="E143" s="2145"/>
      <c r="F143" s="2148"/>
      <c r="G143" s="2145"/>
      <c r="H143" s="1300"/>
      <c r="I143" s="1301"/>
      <c r="J143" s="1301"/>
      <c r="K143" s="1301"/>
      <c r="L143" s="1301"/>
      <c r="M143" s="1301"/>
      <c r="N143" s="1301"/>
      <c r="O143" s="1301"/>
      <c r="P143" s="1301"/>
      <c r="Q143" s="1301"/>
      <c r="R143" s="1301"/>
      <c r="S143" s="1302"/>
      <c r="T143" s="1302"/>
      <c r="U143" s="1302"/>
      <c r="V143" s="1302"/>
      <c r="W143" s="1303"/>
      <c r="X143" s="1260"/>
      <c r="Y143" s="1260"/>
      <c r="Z143" s="1260"/>
      <c r="AA143" s="1260"/>
      <c r="AB143" s="1260"/>
      <c r="AC143" s="1260"/>
      <c r="AD143" s="1260"/>
      <c r="AE143" s="1260"/>
      <c r="AF143" s="1260"/>
      <c r="AG143" s="1260"/>
      <c r="AH143" s="1260"/>
      <c r="AI143" s="1260"/>
      <c r="AJ143" s="1260"/>
      <c r="AK143" s="1260"/>
      <c r="AL143" s="1260"/>
      <c r="AM143" s="1260"/>
      <c r="AN143" s="1260"/>
      <c r="AO143" s="1260"/>
      <c r="AP143" s="1260"/>
      <c r="AQ143" s="1260"/>
      <c r="AR143" s="1468">
        <v>0</v>
      </c>
    </row>
    <row s="1854" customFormat="1" customHeight="1" ht="17.25" hidden="1">
      <c r="A144" s="322"/>
      <c r="C144" s="210"/>
      <c r="D144" s="2136">
        <v>3</v>
      </c>
      <c r="E144" s="2144" t="s">
        <v>307</v>
      </c>
      <c r="F144" s="2146" t="s">
        <v>19</v>
      </c>
      <c r="G144" s="2144"/>
      <c r="H144" s="2149"/>
      <c r="I144" s="2151"/>
      <c r="J144" s="2153"/>
      <c r="K144" s="2138"/>
      <c r="L144" s="2138"/>
      <c r="M144" s="2138"/>
      <c r="N144" s="2140"/>
      <c r="O144" s="2138"/>
      <c r="P144" s="2138"/>
      <c r="Q144" s="2138"/>
      <c r="R144" s="2143"/>
      <c r="S144" s="2138"/>
      <c r="T144" s="1944"/>
      <c r="U144" s="1944"/>
      <c r="V144" s="1946"/>
      <c r="W144" s="1297"/>
      <c r="X144" s="1268"/>
      <c r="Y144" s="1268"/>
      <c r="Z144" s="1268"/>
      <c r="AA144" s="1268"/>
      <c r="AB144" s="1268"/>
      <c r="AC144" s="1268" t="s">
        <v>308</v>
      </c>
      <c r="AD144" s="1268" t="s">
        <v>309</v>
      </c>
      <c r="AE144" s="1268" t="s">
        <v>310</v>
      </c>
      <c r="AF144" s="1268" t="s">
        <v>311</v>
      </c>
      <c r="AG144" s="1268"/>
      <c r="AH144" s="1268" t="str">
        <f>IF($E$144=0,"",$E$144)</f>
        <v>Тариф на подключение (технологическое присоединение) к централизованной системе водоотведения</v>
      </c>
      <c r="AI144" s="1268" t="str">
        <f>IF($G$144=0,"",$G$144)</f>
        <v/>
      </c>
      <c r="AJ144" s="1268" t="str">
        <f>IF($J$144=0,"",$J$144)</f>
        <v/>
      </c>
      <c r="AK144" s="1268" t="str">
        <f>IF($K$144="нет","без дифференциации",IF($N$144=0,"",$N$144))</f>
        <v/>
      </c>
      <c r="AL144" s="1268" t="str">
        <f>IF($O$144="нет","без дифференциации",IF($R$144=0,"",$R$144))</f>
        <v/>
      </c>
      <c r="AM144" s="1268" t="str">
        <f>IF($S$144="нет","без дифференциации",IF($V$144=0,"",$V$144))</f>
        <v/>
      </c>
      <c r="AN144" s="1773">
        <f>$I$144</f>
        <v>0</v>
      </c>
      <c r="AO144" s="1268" t="str">
        <f>$I$144&amp;"."&amp;$M$144</f>
        <v>.</v>
      </c>
      <c r="AP144" s="1267" t="str">
        <f>$I$144&amp;"."&amp;$M$144&amp;"."&amp;$Q$144</f>
        <v>..</v>
      </c>
      <c r="AQ144" s="1267" t="str">
        <f>$I$144&amp;"."&amp;$M$144&amp;"."&amp;$Q$144&amp;"."&amp;$U$144</f>
        <v>...</v>
      </c>
      <c r="AR144" s="1468">
        <v>0</v>
      </c>
    </row>
    <row s="1854" customFormat="1" customHeight="1" ht="17.25" hidden="1">
      <c r="A145" s="322"/>
      <c r="C145" s="321"/>
      <c r="D145" s="2136"/>
      <c r="E145" s="2144"/>
      <c r="F145" s="2147"/>
      <c r="G145" s="2144"/>
      <c r="H145" s="2150"/>
      <c r="I145" s="2152"/>
      <c r="J145" s="2154"/>
      <c r="K145" s="2139"/>
      <c r="L145" s="2139"/>
      <c r="M145" s="2139"/>
      <c r="N145" s="2141"/>
      <c r="O145" s="2139"/>
      <c r="P145" s="2139"/>
      <c r="Q145" s="2139"/>
      <c r="R145" s="2142"/>
      <c r="S145" s="2139"/>
      <c r="T145" s="1949"/>
      <c r="U145" s="1949"/>
      <c r="V145" s="1949"/>
      <c r="W145" s="1950"/>
      <c r="X145" s="1267"/>
      <c r="Y145" s="1267"/>
      <c r="Z145" s="1267"/>
      <c r="AA145" s="1267"/>
      <c r="AB145" s="1267"/>
      <c r="AC145" s="1267"/>
      <c r="AD145" s="1267"/>
      <c r="AE145" s="1267"/>
      <c r="AF145" s="1267"/>
      <c r="AG145" s="1267"/>
      <c r="AH145" s="1267"/>
      <c r="AI145" s="1267"/>
      <c r="AJ145" s="1267"/>
      <c r="AK145" s="1267"/>
      <c r="AL145" s="1267"/>
      <c r="AM145" s="1267"/>
      <c r="AN145" s="1267"/>
      <c r="AO145" s="1267"/>
      <c r="AP145" s="1267"/>
      <c r="AQ145" s="1267"/>
      <c r="AR145" s="1468">
        <v>0</v>
      </c>
    </row>
    <row s="1854" customFormat="1" customHeight="1" ht="17.25" hidden="1">
      <c r="A146" s="322"/>
      <c r="C146" s="321"/>
      <c r="D146" s="2137"/>
      <c r="E146" s="2145"/>
      <c r="F146" s="2147"/>
      <c r="G146" s="2145"/>
      <c r="H146" s="2150"/>
      <c r="I146" s="2152"/>
      <c r="J146" s="2155"/>
      <c r="K146" s="2139"/>
      <c r="L146" s="2139"/>
      <c r="M146" s="2139"/>
      <c r="N146" s="2142"/>
      <c r="O146" s="2139"/>
      <c r="P146" s="1945"/>
      <c r="Q146" s="1949"/>
      <c r="R146" s="1949"/>
      <c r="S146" s="330"/>
      <c r="T146" s="330"/>
      <c r="U146" s="330"/>
      <c r="V146" s="330"/>
      <c r="W146" s="1950"/>
      <c r="X146" s="1267"/>
      <c r="Y146" s="1267"/>
      <c r="Z146" s="1267"/>
      <c r="AA146" s="1267"/>
      <c r="AB146" s="1267"/>
      <c r="AC146" s="1267"/>
      <c r="AD146" s="1267"/>
      <c r="AE146" s="1267"/>
      <c r="AF146" s="1267"/>
      <c r="AG146" s="1267"/>
      <c r="AH146" s="1267"/>
      <c r="AI146" s="1267"/>
      <c r="AJ146" s="1267"/>
      <c r="AK146" s="1267"/>
      <c r="AL146" s="1267"/>
      <c r="AM146" s="1267"/>
      <c r="AN146" s="1267"/>
      <c r="AO146" s="1267"/>
      <c r="AP146" s="1267"/>
      <c r="AQ146" s="1267"/>
      <c r="AR146" s="1468">
        <v>0</v>
      </c>
    </row>
    <row s="1854" customFormat="1" customHeight="1" ht="17.25" hidden="1">
      <c r="A147" s="322"/>
      <c r="C147" s="321"/>
      <c r="D147" s="2137"/>
      <c r="E147" s="2145"/>
      <c r="F147" s="2147"/>
      <c r="G147" s="2145"/>
      <c r="H147" s="2150"/>
      <c r="I147" s="2152"/>
      <c r="J147" s="2155"/>
      <c r="K147" s="2139"/>
      <c r="L147" s="1949"/>
      <c r="M147" s="1949"/>
      <c r="N147" s="1949"/>
      <c r="O147" s="1949"/>
      <c r="P147" s="1949"/>
      <c r="Q147" s="1949"/>
      <c r="R147" s="1949"/>
      <c r="S147" s="330"/>
      <c r="T147" s="330"/>
      <c r="U147" s="330"/>
      <c r="V147" s="330"/>
      <c r="W147" s="1950"/>
      <c r="X147" s="1267"/>
      <c r="Y147" s="1267"/>
      <c r="Z147" s="1267"/>
      <c r="AA147" s="1267"/>
      <c r="AB147" s="1267"/>
      <c r="AC147" s="1267"/>
      <c r="AD147" s="1267"/>
      <c r="AE147" s="1267"/>
      <c r="AF147" s="1267"/>
      <c r="AG147" s="1267"/>
      <c r="AH147" s="1267"/>
      <c r="AI147" s="1267"/>
      <c r="AJ147" s="1267"/>
      <c r="AK147" s="1267"/>
      <c r="AL147" s="1267"/>
      <c r="AM147" s="1267"/>
      <c r="AN147" s="1267"/>
      <c r="AO147" s="1267"/>
      <c r="AP147" s="1267"/>
      <c r="AQ147" s="1267"/>
      <c r="AR147" s="1468">
        <v>0</v>
      </c>
    </row>
    <row s="1854" customFormat="1" customHeight="1" ht="17.25" hidden="1">
      <c r="A148" s="322"/>
      <c r="C148" s="321"/>
      <c r="D148" s="2137"/>
      <c r="E148" s="2145"/>
      <c r="F148" s="2148"/>
      <c r="G148" s="2145"/>
      <c r="H148" s="1300"/>
      <c r="I148" s="1947"/>
      <c r="J148" s="1947"/>
      <c r="K148" s="1947"/>
      <c r="L148" s="1947"/>
      <c r="M148" s="1947"/>
      <c r="N148" s="1947"/>
      <c r="O148" s="1947"/>
      <c r="P148" s="1947"/>
      <c r="Q148" s="1947"/>
      <c r="R148" s="1947"/>
      <c r="S148" s="1302"/>
      <c r="T148" s="1302"/>
      <c r="U148" s="1302"/>
      <c r="V148" s="1302"/>
      <c r="W148" s="1948"/>
      <c r="X148" s="1267"/>
      <c r="Y148" s="1267"/>
      <c r="Z148" s="1267"/>
      <c r="AA148" s="1267"/>
      <c r="AB148" s="1267"/>
      <c r="AC148" s="1267"/>
      <c r="AD148" s="1267"/>
      <c r="AE148" s="1267"/>
      <c r="AF148" s="1267"/>
      <c r="AG148" s="1267"/>
      <c r="AH148" s="1267"/>
      <c r="AI148" s="1267"/>
      <c r="AJ148" s="1267"/>
      <c r="AK148" s="1267"/>
      <c r="AL148" s="1267"/>
      <c r="AM148" s="1267"/>
      <c r="AN148" s="1267"/>
      <c r="AO148" s="1267"/>
      <c r="AP148" s="1267"/>
      <c r="AQ148" s="1267"/>
      <c r="AR148" s="1468">
        <v>0</v>
      </c>
    </row>
    <row customHeight="1" ht="11.549999999999999">
      <c r="AR149" s="105">
        <v>11</v>
      </c>
    </row>
    <row customHeight="1" ht="11.549999999999999">
      <c r="AR150" s="105">
        <v>11</v>
      </c>
    </row>
    <row customHeight="1" ht="11.549999999999999">
      <c r="AR151" s="105">
        <v>11</v>
      </c>
    </row>
    <row customHeight="1" ht="11.549999999999999">
      <c r="E152" s="1351"/>
      <c r="AR152" s="105">
        <v>11</v>
      </c>
    </row>
    <row customHeight="1" ht="11.549999999999999">
      <c r="E153" s="1351"/>
      <c r="AR153" s="105">
        <v>11</v>
      </c>
    </row>
    <row customHeight="1" ht="11.549999999999999">
      <c r="E154" s="1351"/>
      <c r="AR154" s="105">
        <v>11</v>
      </c>
    </row>
    <row customHeight="1" ht="11.549999999999999">
      <c r="E155" s="1351"/>
      <c r="AR155" s="105">
        <v>11</v>
      </c>
    </row>
    <row customHeight="1" ht="11.549999999999999">
      <c r="E156" s="1351"/>
      <c r="AR156" s="105">
        <v>11</v>
      </c>
    </row>
    <row customHeight="1" ht="11.549999999999999">
      <c r="E157" s="1351"/>
      <c r="AR157" s="105">
        <v>11</v>
      </c>
    </row>
    <row customHeight="1" ht="11.549999999999999">
      <c r="E158" s="1351"/>
      <c r="AR158" s="105">
        <v>11</v>
      </c>
    </row>
    <row customHeight="1" ht="11.25" hidden="1">
      <c r="A159" s="154" t="s">
        <v>85</v>
      </c>
      <c r="B159" s="154">
        <v>0</v>
      </c>
      <c r="C159" s="105">
        <v>3</v>
      </c>
      <c r="D159" s="105">
        <v>6</v>
      </c>
      <c r="E159" s="105">
        <v>42</v>
      </c>
      <c r="F159" s="1284">
        <v>14</v>
      </c>
      <c r="G159" s="105">
        <v>42</v>
      </c>
      <c r="H159" s="105">
        <v>3</v>
      </c>
      <c r="I159" s="105">
        <v>5</v>
      </c>
      <c r="J159" s="105">
        <v>47</v>
      </c>
      <c r="K159" s="105">
        <v>3</v>
      </c>
      <c r="L159" s="105">
        <v>3</v>
      </c>
      <c r="M159" s="105">
        <v>5</v>
      </c>
      <c r="N159" s="105">
        <v>28</v>
      </c>
      <c r="O159" s="105">
        <v>3</v>
      </c>
      <c r="P159" s="105">
        <v>3</v>
      </c>
      <c r="Q159" s="105">
        <v>5</v>
      </c>
      <c r="R159" s="105">
        <v>34</v>
      </c>
      <c r="S159" s="283">
        <v>0</v>
      </c>
      <c r="T159" s="283">
        <v>0</v>
      </c>
      <c r="U159" s="283">
        <v>0</v>
      </c>
      <c r="V159" s="283">
        <v>0</v>
      </c>
      <c r="W159" s="105">
        <v>30</v>
      </c>
      <c r="X159" s="105">
        <v>3</v>
      </c>
      <c r="Y159" s="1260">
        <v>0</v>
      </c>
      <c r="Z159" s="1260">
        <v>0</v>
      </c>
      <c r="AA159" s="1260">
        <v>0</v>
      </c>
      <c r="AB159" s="1260">
        <v>0</v>
      </c>
      <c r="AC159" s="1260">
        <v>0</v>
      </c>
      <c r="AD159" s="1260">
        <v>0</v>
      </c>
      <c r="AE159" s="1260">
        <v>0</v>
      </c>
      <c r="AF159" s="1260">
        <v>0</v>
      </c>
      <c r="AG159" s="1260">
        <v>0</v>
      </c>
      <c r="AH159" s="1260">
        <v>0</v>
      </c>
      <c r="AI159" s="1260">
        <v>0</v>
      </c>
      <c r="AJ159" s="1260">
        <v>0</v>
      </c>
      <c r="AK159" s="1260">
        <v>0</v>
      </c>
      <c r="AL159" s="1260">
        <v>0</v>
      </c>
      <c r="AM159" s="1260">
        <v>0</v>
      </c>
      <c r="AN159" s="1260">
        <v>0</v>
      </c>
      <c r="AO159" s="1260">
        <v>0</v>
      </c>
      <c r="AP159" s="1260">
        <v>0</v>
      </c>
      <c r="AQ159" s="1260">
        <v>0</v>
      </c>
      <c r="AR159" s="105">
        <v>11</v>
      </c>
    </row>
  </sheetData>
  <sheetProtection formatColumns="0" formatRows="0" autoFilter="0" sort="0" insertRows="0" insertColumns="1" deleteRows="0" deleteColumns="0"/>
  <mergeCells count="415">
    <mergeCell ref="R23:R24"/>
    <mergeCell ref="S23:S24"/>
    <mergeCell ref="G23:G27"/>
    <mergeCell ref="H23:H26"/>
    <mergeCell ref="I23:I26"/>
    <mergeCell ref="J23:J26"/>
    <mergeCell ref="K23:K26"/>
    <mergeCell ref="L23:L25"/>
    <mergeCell ref="M23:M25"/>
    <mergeCell ref="N23:N25"/>
    <mergeCell ref="O23:O25"/>
    <mergeCell ref="M144:M146"/>
    <mergeCell ref="N144:N146"/>
    <mergeCell ref="O144:O146"/>
    <mergeCell ref="P144:P145"/>
    <mergeCell ref="Q144:Q145"/>
    <mergeCell ref="R144:R145"/>
    <mergeCell ref="S144:S145"/>
    <mergeCell ref="D144:D148"/>
    <mergeCell ref="E144:E148"/>
    <mergeCell ref="F144:F148"/>
    <mergeCell ref="G144:G148"/>
    <mergeCell ref="H144:H147"/>
    <mergeCell ref="I144:I147"/>
    <mergeCell ref="J144:J147"/>
    <mergeCell ref="K144:K147"/>
    <mergeCell ref="L144:L146"/>
    <mergeCell ref="N112:N114"/>
    <mergeCell ref="O112:O114"/>
    <mergeCell ref="P112:P113"/>
    <mergeCell ref="Q112:Q113"/>
    <mergeCell ref="R112:R113"/>
    <mergeCell ref="S112:S113"/>
    <mergeCell ref="D128:D132"/>
    <mergeCell ref="E128:E132"/>
    <mergeCell ref="F128:F132"/>
    <mergeCell ref="G128:G132"/>
    <mergeCell ref="H128:H131"/>
    <mergeCell ref="I128:I131"/>
    <mergeCell ref="J128:J131"/>
    <mergeCell ref="K128:K131"/>
    <mergeCell ref="L128:L130"/>
    <mergeCell ref="M128:M130"/>
    <mergeCell ref="N128:N130"/>
    <mergeCell ref="O128:O130"/>
    <mergeCell ref="P128:P129"/>
    <mergeCell ref="Q128:Q129"/>
    <mergeCell ref="R128:R129"/>
    <mergeCell ref="S128:S129"/>
    <mergeCell ref="D112:D116"/>
    <mergeCell ref="E112:E116"/>
    <mergeCell ref="F112:F116"/>
    <mergeCell ref="G112:G116"/>
    <mergeCell ref="H112:H115"/>
    <mergeCell ref="I112:I115"/>
    <mergeCell ref="J112:J115"/>
    <mergeCell ref="K112:K115"/>
    <mergeCell ref="L112:L114"/>
    <mergeCell ref="S139:S140"/>
    <mergeCell ref="D139:D143"/>
    <mergeCell ref="E139:E143"/>
    <mergeCell ref="F139:F143"/>
    <mergeCell ref="G139:G143"/>
    <mergeCell ref="H139:H142"/>
    <mergeCell ref="I139:I142"/>
    <mergeCell ref="J139:J142"/>
    <mergeCell ref="K139:K142"/>
    <mergeCell ref="L139:L141"/>
    <mergeCell ref="H134:H137"/>
    <mergeCell ref="I134:I137"/>
    <mergeCell ref="J134:J137"/>
    <mergeCell ref="K134:K137"/>
    <mergeCell ref="L134:L136"/>
    <mergeCell ref="M134:M136"/>
    <mergeCell ref="N134:N136"/>
    <mergeCell ref="M139:M141"/>
    <mergeCell ref="N139:N141"/>
    <mergeCell ref="O139:O141"/>
    <mergeCell ref="P134:P135"/>
    <mergeCell ref="Q134:Q135"/>
    <mergeCell ref="R134:R135"/>
    <mergeCell ref="P139:P140"/>
    <mergeCell ref="Q139:Q140"/>
    <mergeCell ref="R139:R140"/>
    <mergeCell ref="S134:S135"/>
    <mergeCell ref="D134:D138"/>
    <mergeCell ref="E134:E138"/>
    <mergeCell ref="F134:F138"/>
    <mergeCell ref="G134:G138"/>
    <mergeCell ref="M123:M125"/>
    <mergeCell ref="N123:N125"/>
    <mergeCell ref="O123:O125"/>
    <mergeCell ref="P123:P124"/>
    <mergeCell ref="Q123:Q124"/>
    <mergeCell ref="R123:R124"/>
    <mergeCell ref="S123:S124"/>
    <mergeCell ref="D123:D127"/>
    <mergeCell ref="E123:E127"/>
    <mergeCell ref="F123:F127"/>
    <mergeCell ref="G123:G127"/>
    <mergeCell ref="H123:H126"/>
    <mergeCell ref="I123:I126"/>
    <mergeCell ref="J123:J126"/>
    <mergeCell ref="K123:K126"/>
    <mergeCell ref="L123:L125"/>
    <mergeCell ref="O134:O136"/>
    <mergeCell ref="R13:R14"/>
    <mergeCell ref="S13:S14"/>
    <mergeCell ref="M48:M50"/>
    <mergeCell ref="N48:N50"/>
    <mergeCell ref="O48:O50"/>
    <mergeCell ref="N38:N40"/>
    <mergeCell ref="D118:D122"/>
    <mergeCell ref="E118:E122"/>
    <mergeCell ref="F118:F122"/>
    <mergeCell ref="G118:G122"/>
    <mergeCell ref="H118:H121"/>
    <mergeCell ref="I118:I121"/>
    <mergeCell ref="J118:J121"/>
    <mergeCell ref="K118:K121"/>
    <mergeCell ref="L118:L120"/>
    <mergeCell ref="P48:P49"/>
    <mergeCell ref="Q48:Q49"/>
    <mergeCell ref="R48:R49"/>
    <mergeCell ref="S48:S49"/>
    <mergeCell ref="S28:S29"/>
    <mergeCell ref="S18:S19"/>
    <mergeCell ref="M118:M120"/>
    <mergeCell ref="N118:N120"/>
    <mergeCell ref="O118:O120"/>
    <mergeCell ref="P118:P119"/>
    <mergeCell ref="Q118:Q119"/>
    <mergeCell ref="R118:R119"/>
    <mergeCell ref="S118:S119"/>
    <mergeCell ref="E90:W90"/>
    <mergeCell ref="E82:W82"/>
    <mergeCell ref="E83:W83"/>
    <mergeCell ref="E84:W84"/>
    <mergeCell ref="E85:W85"/>
    <mergeCell ref="E86:W86"/>
    <mergeCell ref="L92:L94"/>
    <mergeCell ref="M92:M94"/>
    <mergeCell ref="E88:W88"/>
    <mergeCell ref="E89:W89"/>
    <mergeCell ref="K102:K105"/>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70"/>
    <mergeCell ref="E53:E70"/>
    <mergeCell ref="F53:F70"/>
    <mergeCell ref="N43:N45"/>
    <mergeCell ref="G38:G42"/>
    <mergeCell ref="K38:K41"/>
    <mergeCell ref="G53:G70"/>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92:D96"/>
    <mergeCell ref="E92:E96"/>
    <mergeCell ref="D97:D101"/>
    <mergeCell ref="E97:E101"/>
    <mergeCell ref="F97:F101"/>
    <mergeCell ref="G97:G101"/>
    <mergeCell ref="H97:H100"/>
    <mergeCell ref="I97:I100"/>
    <mergeCell ref="J97:J100"/>
    <mergeCell ref="F92:F96"/>
    <mergeCell ref="G92:G96"/>
    <mergeCell ref="H92:H95"/>
    <mergeCell ref="I92:I95"/>
    <mergeCell ref="J92:J95"/>
    <mergeCell ref="K13:K16"/>
    <mergeCell ref="G18:G22"/>
    <mergeCell ref="K18:K21"/>
    <mergeCell ref="N28:N30"/>
    <mergeCell ref="L102:L104"/>
    <mergeCell ref="Q97:Q98"/>
    <mergeCell ref="R97:R98"/>
    <mergeCell ref="S97:S98"/>
    <mergeCell ref="K97:K100"/>
    <mergeCell ref="K92:K95"/>
    <mergeCell ref="N97:N99"/>
    <mergeCell ref="O97:O99"/>
    <mergeCell ref="P97:P98"/>
    <mergeCell ref="S102:S103"/>
    <mergeCell ref="N102:N104"/>
    <mergeCell ref="O102:O104"/>
    <mergeCell ref="P102:P103"/>
    <mergeCell ref="Q102:Q103"/>
    <mergeCell ref="R102:R103"/>
    <mergeCell ref="L97:L99"/>
    <mergeCell ref="N92:N94"/>
    <mergeCell ref="O92:O94"/>
    <mergeCell ref="P92:P93"/>
    <mergeCell ref="Q92:Q93"/>
    <mergeCell ref="R92:R93"/>
    <mergeCell ref="S92:S93"/>
    <mergeCell ref="M97:M99"/>
    <mergeCell ref="M107:M109"/>
    <mergeCell ref="N107:N109"/>
    <mergeCell ref="O107:O109"/>
    <mergeCell ref="P107:P108"/>
    <mergeCell ref="Q107:Q108"/>
    <mergeCell ref="R107:R108"/>
    <mergeCell ref="S107:S108"/>
    <mergeCell ref="D102:D106"/>
    <mergeCell ref="E102:E106"/>
    <mergeCell ref="M102:M104"/>
    <mergeCell ref="D107:D111"/>
    <mergeCell ref="E107:E111"/>
    <mergeCell ref="F107:F111"/>
    <mergeCell ref="G107:G111"/>
    <mergeCell ref="H107:H110"/>
    <mergeCell ref="I107:I110"/>
    <mergeCell ref="J107:J110"/>
    <mergeCell ref="K107:K110"/>
    <mergeCell ref="L107:L109"/>
    <mergeCell ref="F102:F106"/>
    <mergeCell ref="G102:G106"/>
    <mergeCell ref="H102:H105"/>
    <mergeCell ref="I102:I105"/>
    <mergeCell ref="J102:J105"/>
    <mergeCell ref="S76:S77"/>
    <mergeCell ref="E71:E75"/>
    <mergeCell ref="F71:F75"/>
    <mergeCell ref="G71:G75"/>
    <mergeCell ref="H71:H74"/>
    <mergeCell ref="I71:I74"/>
    <mergeCell ref="J71:J74"/>
    <mergeCell ref="K71:K74"/>
    <mergeCell ref="L71:L73"/>
    <mergeCell ref="D71:D75"/>
    <mergeCell ref="M112:M114"/>
    <mergeCell ref="M71:M73"/>
    <mergeCell ref="N71:N73"/>
    <mergeCell ref="O71:O73"/>
    <mergeCell ref="P71:P72"/>
    <mergeCell ref="Q71:Q72"/>
    <mergeCell ref="R71:R72"/>
    <mergeCell ref="S71:S72"/>
    <mergeCell ref="D76:D80"/>
    <mergeCell ref="E76:E80"/>
    <mergeCell ref="F76:F80"/>
    <mergeCell ref="G76:G80"/>
    <mergeCell ref="H76:H79"/>
    <mergeCell ref="I76:I79"/>
    <mergeCell ref="J76:J79"/>
    <mergeCell ref="K76:K79"/>
    <mergeCell ref="L76:L78"/>
    <mergeCell ref="M76:M78"/>
    <mergeCell ref="N76:N78"/>
    <mergeCell ref="O76:O78"/>
    <mergeCell ref="P76:P77"/>
    <mergeCell ref="Q76:Q77"/>
    <mergeCell ref="R76:R77"/>
    <mergeCell ref="O53:O55"/>
    <mergeCell ref="S53:S54"/>
    <mergeCell ref="P53:P54"/>
    <mergeCell ref="Q53:Q54"/>
    <mergeCell ref="R53:R54"/>
    <mergeCell ref="K53:K62"/>
    <mergeCell ref="M53:M55"/>
    <mergeCell ref="L53:L55"/>
    <mergeCell ref="N53:N55"/>
    <mergeCell ref="J53:J62"/>
    <mergeCell ref="H53:H62"/>
    <mergeCell ref="I53:I62"/>
    <mergeCell ref="L56:L58"/>
    <mergeCell ref="M56:M58"/>
    <mergeCell ref="N56:N58"/>
    <mergeCell ref="O56:O58"/>
    <mergeCell ref="S56:S57"/>
    <mergeCell ref="P56:P57"/>
    <mergeCell ref="Q56:Q57"/>
    <mergeCell ref="R56:R57"/>
    <mergeCell ref="H63:H69"/>
    <mergeCell ref="I63:I69"/>
    <mergeCell ref="J63:J69"/>
    <mergeCell ref="K63:K69"/>
    <mergeCell ref="L63:L65"/>
    <mergeCell ref="M63:M65"/>
    <mergeCell ref="N63:N65"/>
    <mergeCell ref="S63:S64"/>
    <mergeCell ref="O63:O65"/>
    <mergeCell ref="P63:P64"/>
    <mergeCell ref="Q63:Q64"/>
    <mergeCell ref="R63:R64"/>
    <mergeCell ref="L59:L61"/>
    <mergeCell ref="M59:M61"/>
    <mergeCell ref="N59:N61"/>
    <mergeCell ref="O59:O61"/>
    <mergeCell ref="S59:S60"/>
    <mergeCell ref="P59:P60"/>
    <mergeCell ref="Q59:Q60"/>
    <mergeCell ref="R59:R60"/>
    <mergeCell ref="L66:L68"/>
    <mergeCell ref="M66:M68"/>
    <mergeCell ref="N66:N68"/>
    <mergeCell ref="O66:O68"/>
    <mergeCell ref="S66:S67"/>
    <mergeCell ref="P66:P67"/>
    <mergeCell ref="Q66:Q67"/>
    <mergeCell ref="R66:R67"/>
  </mergeCells>
  <dataValidations count="96">
    <dataValidation allowBlank="1" showInputMessage="1" showErrorMessage="1" prompt="Выберите виды деятельности, выполнив двойной щелчок левой кнопки мыши по ячейке." sqref="G69"/>
    <dataValidation allowBlank="1" showInputMessage="1" showErrorMessage="1" prompt="Для выбора выполните двойной щелчок левой клавиши мыши по соответствующей ячейке." sqref="F6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5"/>
    <dataValidation allowBlank="1" showInputMessage="1" showErrorMessage="1" prompt="Выберите виды деятельности, выполнив двойной щелчок левой кнопки мыши по ячейке." sqref="G65"/>
    <dataValidation allowBlank="1" showInputMessage="1" showErrorMessage="1" prompt="Для выбора выполните двойной щелчок левой клавиши мыши по соответствующей ячейке." sqref="F65"/>
    <dataValidation allowBlank="1" showInputMessage="1" showErrorMessage="1" prompt="Для выбора выполните двойной щелчок левой клавиши мыши по соответствующей ячейке." sqref="S64"/>
    <dataValidation type="textLength" operator="lessThanOrEqual" allowBlank="1" showInputMessage="1" showErrorMessage="1" errorTitle="Ошибка" error="Допускается ввод не более 900 символов!" sqref="R6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4"/>
    <dataValidation type="textLength" operator="lessThanOrEqual" allowBlank="1" showInputMessage="1" showErrorMessage="1" errorTitle="Ошибка" error="Допускается ввод не более 900 символов!" sqref="J64">
      <formula1>900</formula1>
    </dataValidation>
    <dataValidation allowBlank="1" showInputMessage="1" showErrorMessage="1" prompt="Выберите виды деятельности, выполнив двойной щелчок левой кнопки мыши по ячейке." sqref="G64"/>
    <dataValidation allowBlank="1" showInputMessage="1" showErrorMessage="1" prompt="Для выбора выполните двойной щелчок левой клавиши мыши по соответствующей ячейке." sqref="F64"/>
    <dataValidation type="textLength" operator="lessThanOrEqual" allowBlank="1" showInputMessage="1" showErrorMessage="1" errorTitle="Ошибка" error="Допускается ввод не более 900 символов!" sqref="W63">
      <formula1>900</formula1>
    </dataValidation>
    <dataValidation type="textLength" operator="lessThanOrEqual" allowBlank="1" showInputMessage="1" showErrorMessage="1" errorTitle="Ошибка" error="Допускается ввод не более 900 символов!" sqref="V63">
      <formula1>900</formula1>
    </dataValidation>
    <dataValidation allowBlank="1" showInputMessage="1" showErrorMessage="1" prompt="Для выбора выполните двойной щелчок левой клавиши мыши по соответствующей ячейке." sqref="S63"/>
    <dataValidation type="textLength" operator="lessThanOrEqual" allowBlank="1" showInputMessage="1" showErrorMessage="1" errorTitle="Ошибка" error="Допускается ввод не более 900 символов!" sqref="R63">
      <formula1>900</formula1>
    </dataValidation>
    <dataValidation allowBlank="1" showInputMessage="1" showErrorMessage="1" prompt="Для выбора выполните двойной щелчок левой клавиши мыши по соответствующей ячейке." sqref="O6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3"/>
    <dataValidation allowBlank="1" showInputMessage="1" showErrorMessage="1" prompt="Для выбора выполните двойной щелчок левой клавиши мыши по соответствующей ячейке." sqref="K63"/>
    <dataValidation type="textLength" operator="lessThanOrEqual" allowBlank="1" showInputMessage="1" showErrorMessage="1" errorTitle="Ошибка" error="Допускается ввод не более 900 символов!" sqref="J63">
      <formula1>900</formula1>
    </dataValidation>
    <dataValidation allowBlank="1" showInputMessage="1" showErrorMessage="1" prompt="Выберите виды деятельности, выполнив двойной щелчок левой кнопки мыши по ячейке." sqref="G63"/>
    <dataValidation allowBlank="1" showInputMessage="1" showErrorMessage="1" prompt="Для выбора выполните двойной щелчок левой клавиши мыши по соответствующей ячейке." sqref="F6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Выберите виды деятельности, выполнив двойной щелчок левой кнопки мыши по ячейке." sqref="G58"/>
    <dataValidation allowBlank="1" showInputMessage="1" showErrorMessage="1" prompt="Для выбора выполните двойной щелчок левой клавиши мыши по соответствующей ячейке." sqref="F58"/>
    <dataValidation allowBlank="1" showInputMessage="1" showErrorMessage="1" prompt="Для выбора выполните двойной щелчок левой клавиши мыши по соответствующей ячейке." sqref="S57"/>
    <dataValidation type="textLength" operator="lessThanOrEqual" allowBlank="1" showInputMessage="1" showErrorMessage="1" errorTitle="Ошибка" error="Допускается ввод не более 900 символов!" sqref="R5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7"/>
    <dataValidation type="textLength" operator="lessThanOrEqual" allowBlank="1" showInputMessage="1" showErrorMessage="1" errorTitle="Ошибка" error="Допускается ввод не более 900 символов!" sqref="J57">
      <formula1>900</formula1>
    </dataValidation>
    <dataValidation allowBlank="1" showInputMessage="1" showErrorMessage="1" prompt="Выберите виды деятельности, выполнив двойной щелчок левой кнопки мыши по ячейке." sqref="G57"/>
    <dataValidation allowBlank="1" showInputMessage="1" showErrorMessage="1" prompt="Для выбора выполните двойной щелчок левой клавиши мыши по соответствующей ячейке." sqref="F57"/>
    <dataValidation type="textLength" operator="lessThanOrEqual" allowBlank="1" showInputMessage="1" showErrorMessage="1" errorTitle="Ошибка" error="Допускается ввод не более 900 символов!" sqref="W56">
      <formula1>900</formula1>
    </dataValidation>
    <dataValidation type="textLength" operator="lessThanOrEqual" allowBlank="1" showInputMessage="1" showErrorMessage="1" errorTitle="Ошибка" error="Допускается ввод не более 900 символов!" sqref="V56">
      <formula1>900</formula1>
    </dataValidation>
    <dataValidation allowBlank="1" showInputMessage="1" showErrorMessage="1" prompt="Для выбора выполните двойной щелчок левой клавиши мыши по соответствующей ячейке." sqref="S56"/>
    <dataValidation type="textLength" operator="lessThanOrEqual" allowBlank="1" showInputMessage="1" showErrorMessage="1" errorTitle="Ошибка" error="Допускается ввод не более 900 символов!" sqref="R56">
      <formula1>900</formula1>
    </dataValidation>
    <dataValidation allowBlank="1" showInputMessage="1" showErrorMessage="1" prompt="Для выбора выполните двойной щелчок левой клавиши мыши по соответствующей ячейке." sqref="O5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6"/>
    <dataValidation allowBlank="1" showInputMessage="1" showErrorMessage="1" prompt="Для выбора выполните двойной щелчок левой клавиши мыши по соответствующей ячейке." sqref="K56"/>
    <dataValidation type="textLength" operator="lessThanOrEqual" allowBlank="1" showInputMessage="1" showErrorMessage="1" errorTitle="Ошибка" error="Допускается ввод не более 900 символов!" sqref="J56">
      <formula1>900</formula1>
    </dataValidation>
    <dataValidation allowBlank="1" showInputMessage="1" showErrorMessage="1" prompt="Выберите виды деятельности, выполнив двойной щелчок левой кнопки мыши по ячейке." sqref="G56"/>
    <dataValidation allowBlank="1" showInputMessage="1" showErrorMessage="1" prompt="Для выбора выполните двойной щелчок левой клавиши мыши по соответствующей ячейке." sqref="F5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5"/>
    <dataValidation allowBlank="1" showInputMessage="1" showErrorMessage="1" prompt="Для выбора выполните двойной щелчок левой клавиши мыши по соответствующей ячейке." sqref="S54"/>
    <dataValidation type="textLength" operator="lessThanOrEqual" allowBlank="1" showInputMessage="1" showErrorMessage="1" errorTitle="Ошибка" error="Допускается ввод не более 900 символов!" sqref="R5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4"/>
    <dataValidation type="textLength" operator="lessThanOrEqual" allowBlank="1" showInputMessage="1" showErrorMessage="1" errorTitle="Ошибка" error="Допускается ввод не более 900 символов!" sqref="J54">
      <formula1>900</formula1>
    </dataValidation>
    <dataValidation type="textLength" operator="lessThanOrEqual" allowBlank="1" showInputMessage="1" showErrorMessage="1" errorTitle="Ошибка" error="Допускается ввод не более 900 символов!" sqref="W53">
      <formula1>900</formula1>
    </dataValidation>
    <dataValidation type="textLength" operator="lessThanOrEqual" allowBlank="1" showInputMessage="1" showErrorMessage="1" errorTitle="Ошибка" error="Допускается ввод не более 900 символов!" sqref="V53">
      <formula1>900</formula1>
    </dataValidation>
    <dataValidation allowBlank="1" showInputMessage="1" showErrorMessage="1" prompt="Для выбора выполните двойной щелчок левой клавиши мыши по соответствующей ячейке." sqref="S53"/>
    <dataValidation type="textLength" operator="lessThanOrEqual" allowBlank="1" showInputMessage="1" showErrorMessage="1" errorTitle="Ошибка" error="Допускается ввод не более 900 символов!" sqref="R53">
      <formula1>900</formula1>
    </dataValidation>
    <dataValidation allowBlank="1" showInputMessage="1" showErrorMessage="1" prompt="Для выбора выполните двойной щелчок левой клавиши мыши по соответствующей ячейке." sqref="O5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3"/>
    <dataValidation allowBlank="1" showInputMessage="1" showErrorMessage="1" prompt="Для выбора выполните двойной щелчок левой клавиши мыши по соответствующей ячейке." sqref="K53"/>
    <dataValidation type="textLength" operator="lessThanOrEqual" allowBlank="1" showInputMessage="1" showErrorMessage="1" errorTitle="Ошибка" error="Допускается ввод не более 900 символов!" sqref="J53">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18:G132 G134:G148 G92:G116 G13:G55 G62 G70:G8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92:N94 N107:N109 N97:N99 N102:N104 N118:N120 N123:N125 N139:N141 N134:N136 N71:N73 N76:N78 N112:N114 N128:N130 N144:N146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92:J93 R92:R93 V92:W92 J97:J98 R97:R98 V97:W97 J107:J108 R107:R108 V107:W107 J102:J103 R102:R103 V102:W102 J118:J119 R118:R119 V118:W118 J123:J124 R123:R124 V123:W123 J139:J140 R139:R140 V139:W139 J134:J135 R134:R135 V134:W134 J71:J72 R71:R72 V71:W71 J76:J77 R76:R77 V76:W76 J112:J113 R112:R113 V112:W112 J128:J129 R128:R129 V128:W128 J144:J145 R144:R145 V144:W144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92:K93 O92:O93 S92:S93 K97:K98 O97:O98 S97:S98 K107:K108 O107:O108 S107:S108 K102:K103 O102:O103 S102:S103 O144:O145 O118:O119 S118:S119 O123:O124 S123:S124 K118:K119 K123:K124 S112:S113 K139:K140 O139:O140 K134:K135 O134:O135 S139:S140 O128:O129 S134:S135 O71:O72 S71:S72 K71:K72 K76:K77 O76:O77 S76:S77 F92:F116 K112:K113 O112:O113 F118:F132 S128:S129 K128:K129 F134:F148 S144:S145 K144:K145 F13:F55 F62 F70:F80 K23:K24 O23:O24 S23:S24"/>
    <dataValidation allowBlank="1" showInputMessage="1" showErrorMessage="1" prompt="Для выбора выполните двойной щелчок левой клавиши мыши по соответствующей ячейке." sqref="F59"/>
    <dataValidation allowBlank="1" showInputMessage="1" showErrorMessage="1" prompt="Выберите виды деятельности, выполнив двойной щелчок левой кнопки мыши по ячейке." sqref="G59"/>
    <dataValidation type="textLength" operator="lessThanOrEqual" allowBlank="1" showInputMessage="1" showErrorMessage="1" errorTitle="Ошибка" error="Допускается ввод не более 900 символов!" sqref="J59">
      <formula1>900</formula1>
    </dataValidation>
    <dataValidation allowBlank="1" showInputMessage="1" showErrorMessage="1" prompt="Для выбора выполните двойной щелчок левой клавиши мыши по соответствующей ячейке." sqref="K5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allowBlank="1" showInputMessage="1" showErrorMessage="1" prompt="Для выбора выполните двойной щелчок левой клавиши мыши по соответствующей ячейке." sqref="O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Для выбора выполните двойной щелчок левой клавиши мыши по соответствующей ячейке." sqref="S59"/>
    <dataValidation type="textLength" operator="lessThanOrEqual" allowBlank="1" showInputMessage="1" showErrorMessage="1" errorTitle="Ошибка" error="Допускается ввод не более 900 символов!" sqref="V59">
      <formula1>900</formula1>
    </dataValidation>
    <dataValidation type="textLength" operator="lessThanOrEqual" allowBlank="1" showInputMessage="1" showErrorMessage="1" errorTitle="Ошибка" error="Допускается ввод не более 900 символов!" sqref="W59">
      <formula1>900</formula1>
    </dataValidation>
    <dataValidation allowBlank="1" showInputMessage="1" showErrorMessage="1" prompt="Для выбора выполните двойной щелчок левой клавиши мыши по соответствующей ячейке." sqref="F60"/>
    <dataValidation allowBlank="1" showInputMessage="1" showErrorMessage="1" prompt="Выберите виды деятельности, выполнив двойной щелчок левой кнопки мыши по ячейке." sqref="G60"/>
    <dataValidation type="textLength" operator="lessThanOrEqual" allowBlank="1" showInputMessage="1" showErrorMessage="1" errorTitle="Ошибка" error="Допускается ввод не более 900 символов!" sqref="J6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 type="textLength" operator="lessThanOrEqual" allowBlank="1" showInputMessage="1" showErrorMessage="1" errorTitle="Ошибка" error="Допускается ввод не более 900 символов!" sqref="R60">
      <formula1>900</formula1>
    </dataValidation>
    <dataValidation allowBlank="1" showInputMessage="1" showErrorMessage="1" prompt="Для выбора выполните двойной щелчок левой клавиши мыши по соответствующей ячейке." sqref="S60"/>
    <dataValidation allowBlank="1" showInputMessage="1" showErrorMessage="1" prompt="Для выбора выполните двойной щелчок левой клавиши мыши по соответствующей ячейке." sqref="F61"/>
    <dataValidation allowBlank="1" showInputMessage="1" showErrorMessage="1" prompt="Выберите виды деятельности, выполнив двойной щелчок левой кнопки мыши по ячейке." sqref="G6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1"/>
    <dataValidation allowBlank="1" showInputMessage="1" showErrorMessage="1" prompt="Для выбора выполните двойной щелчок левой клавиши мыши по соответствующей ячейке." sqref="F66"/>
    <dataValidation allowBlank="1" showInputMessage="1" showErrorMessage="1" prompt="Выберите виды деятельности, выполнив двойной щелчок левой кнопки мыши по ячейке." sqref="G66"/>
    <dataValidation type="textLength" operator="lessThanOrEqual" allowBlank="1" showInputMessage="1" showErrorMessage="1" errorTitle="Ошибка" error="Допускается ввод не более 900 символов!" sqref="J66">
      <formula1>900</formula1>
    </dataValidation>
    <dataValidation allowBlank="1" showInputMessage="1" showErrorMessage="1" prompt="Для выбора выполните двойной щелчок левой клавиши мыши по соответствующей ячейке." sqref="K6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6"/>
    <dataValidation allowBlank="1" showInputMessage="1" showErrorMessage="1" prompt="Для выбора выполните двойной щелчок левой клавиши мыши по соответствующей ячейке." sqref="O66"/>
    <dataValidation type="textLength" operator="lessThanOrEqual" allowBlank="1" showInputMessage="1" showErrorMessage="1" errorTitle="Ошибка" error="Допускается ввод не более 900 символов!" sqref="R66">
      <formula1>900</formula1>
    </dataValidation>
    <dataValidation allowBlank="1" showInputMessage="1" showErrorMessage="1" prompt="Для выбора выполните двойной щелчок левой клавиши мыши по соответствующей ячейке." sqref="S66"/>
    <dataValidation type="textLength" operator="lessThanOrEqual" allowBlank="1" showInputMessage="1" showErrorMessage="1" errorTitle="Ошибка" error="Допускается ввод не более 900 символов!" sqref="V66">
      <formula1>900</formula1>
    </dataValidation>
    <dataValidation type="textLength" operator="lessThanOrEqual" allowBlank="1" showInputMessage="1" showErrorMessage="1" errorTitle="Ошибка" error="Допускается ввод не более 900 символов!" sqref="W66">
      <formula1>900</formula1>
    </dataValidation>
    <dataValidation allowBlank="1" showInputMessage="1" showErrorMessage="1" prompt="Для выбора выполните двойной щелчок левой клавиши мыши по соответствующей ячейке." sqref="F67"/>
    <dataValidation allowBlank="1" showInputMessage="1" showErrorMessage="1" prompt="Выберите виды деятельности, выполнив двойной щелчок левой кнопки мыши по ячейке." sqref="G67"/>
    <dataValidation type="textLength" operator="lessThanOrEqual" allowBlank="1" showInputMessage="1" showErrorMessage="1" errorTitle="Ошибка" error="Допускается ввод не более 900 символов!" sqref="J6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7"/>
    <dataValidation type="textLength" operator="lessThanOrEqual" allowBlank="1" showInputMessage="1" showErrorMessage="1" errorTitle="Ошибка" error="Допускается ввод не более 900 символов!" sqref="R67">
      <formula1>900</formula1>
    </dataValidation>
    <dataValidation allowBlank="1" showInputMessage="1" showErrorMessage="1" prompt="Для выбора выполните двойной щелчок левой клавиши мыши по соответствующей ячейке." sqref="S67"/>
    <dataValidation allowBlank="1" showInputMessage="1" showErrorMessage="1" prompt="Для выбора выполните двойной щелчок левой клавиши мыши по соответствующей ячейке." sqref="F68"/>
    <dataValidation allowBlank="1" showInputMessage="1" showErrorMessage="1" prompt="Выберите виды деятельности, выполнив двойной щелчок левой кнопки мыши по ячейке." sqref="G6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DC8598-4819-0C58-AAC1-9EE682E13338}"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312</v>
      </c>
      <c r="M2" s="1554" t="s">
        <v>313</v>
      </c>
      <c r="R2" s="1554" t="s">
        <v>314</v>
      </c>
      <c r="S2" s="1554" t="s">
        <v>313</v>
      </c>
      <c r="X2" s="1554" t="s">
        <v>312</v>
      </c>
      <c r="Y2" s="1554" t="s">
        <v>313</v>
      </c>
      <c r="AD2" s="1554" t="s">
        <v>312</v>
      </c>
      <c r="AE2" s="1554" t="s">
        <v>313</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315</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КГУП "Примтеплоэнерго"</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91</v>
      </c>
      <c r="E8" s="2128" t="s">
        <v>120</v>
      </c>
      <c r="F8" s="2193" t="s">
        <v>136</v>
      </c>
      <c r="G8" s="2194"/>
      <c r="H8" s="2193" t="s">
        <v>91</v>
      </c>
      <c r="I8" s="2194"/>
      <c r="J8" s="2128" t="s">
        <v>137</v>
      </c>
      <c r="K8" s="1557"/>
      <c r="L8" s="2197" t="s">
        <v>316</v>
      </c>
      <c r="M8" s="2197"/>
      <c r="N8" s="2197"/>
      <c r="O8" s="2197"/>
      <c r="P8" s="2197"/>
      <c r="Q8" s="1558"/>
      <c r="R8" s="2097" t="s">
        <v>317</v>
      </c>
      <c r="S8" s="2198"/>
      <c r="T8" s="2198"/>
      <c r="U8" s="2198"/>
      <c r="V8" s="2198"/>
      <c r="W8" s="1558"/>
      <c r="X8" s="2199" t="s">
        <v>318</v>
      </c>
      <c r="Y8" s="2199"/>
      <c r="Z8" s="2199"/>
      <c r="AA8" s="2199"/>
      <c r="AB8" s="2199"/>
      <c r="AC8" s="1559"/>
      <c r="AD8" s="2128" t="s">
        <v>319</v>
      </c>
      <c r="AE8" s="2128"/>
      <c r="AF8" s="2128"/>
      <c r="AG8" s="2128"/>
      <c r="AH8" s="2102"/>
      <c r="AI8" s="2128" t="s">
        <v>320</v>
      </c>
      <c r="AJ8" s="1575"/>
      <c r="BM8" s="294">
        <v>32</v>
      </c>
    </row>
    <row customHeight="1" ht="23.25">
      <c r="D9" s="2128"/>
      <c r="E9" s="2128"/>
      <c r="F9" s="2176" t="s">
        <v>92</v>
      </c>
      <c r="G9" s="2176" t="s">
        <v>142</v>
      </c>
      <c r="H9" s="2195"/>
      <c r="I9" s="2196"/>
      <c r="J9" s="2102"/>
      <c r="K9" s="1560"/>
      <c r="L9" s="2128" t="s">
        <v>321</v>
      </c>
      <c r="M9" s="2102"/>
      <c r="N9" s="2193" t="s">
        <v>91</v>
      </c>
      <c r="O9" s="2194"/>
      <c r="P9" s="2128" t="s">
        <v>143</v>
      </c>
      <c r="Q9" s="1557"/>
      <c r="R9" s="2128" t="s">
        <v>321</v>
      </c>
      <c r="S9" s="2102"/>
      <c r="T9" s="2193" t="s">
        <v>91</v>
      </c>
      <c r="U9" s="2194"/>
      <c r="V9" s="2128" t="s">
        <v>143</v>
      </c>
      <c r="W9" s="1557"/>
      <c r="X9" s="2128" t="s">
        <v>321</v>
      </c>
      <c r="Y9" s="2102"/>
      <c r="Z9" s="2193" t="s">
        <v>91</v>
      </c>
      <c r="AA9" s="2194"/>
      <c r="AB9" s="2128" t="s">
        <v>322</v>
      </c>
      <c r="AC9" s="1557"/>
      <c r="AD9" s="2128" t="s">
        <v>321</v>
      </c>
      <c r="AE9" s="2102"/>
      <c r="AF9" s="2193" t="s">
        <v>91</v>
      </c>
      <c r="AG9" s="2194"/>
      <c r="AH9" s="2102" t="s">
        <v>322</v>
      </c>
      <c r="AI9" s="2128"/>
      <c r="AJ9" s="1575"/>
      <c r="BM9" s="294">
        <v>22</v>
      </c>
    </row>
    <row customHeight="1" ht="24">
      <c r="D10" s="2176"/>
      <c r="E10" s="2176"/>
      <c r="F10" s="2200"/>
      <c r="G10" s="2200"/>
      <c r="H10" s="2201"/>
      <c r="I10" s="2202"/>
      <c r="J10" s="2193"/>
      <c r="K10" s="1560"/>
      <c r="L10" s="1579" t="s">
        <v>323</v>
      </c>
      <c r="M10" s="1574" t="s">
        <v>324</v>
      </c>
      <c r="N10" s="2195"/>
      <c r="O10" s="2196"/>
      <c r="P10" s="2176"/>
      <c r="Q10" s="1557"/>
      <c r="R10" s="1579" t="s">
        <v>323</v>
      </c>
      <c r="S10" s="1574" t="s">
        <v>324</v>
      </c>
      <c r="T10" s="2195"/>
      <c r="U10" s="2196"/>
      <c r="V10" s="2176"/>
      <c r="W10" s="1557"/>
      <c r="X10" s="1579" t="s">
        <v>323</v>
      </c>
      <c r="Y10" s="1574" t="s">
        <v>324</v>
      </c>
      <c r="Z10" s="2195"/>
      <c r="AA10" s="2196"/>
      <c r="AB10" s="2176"/>
      <c r="AC10" s="1557"/>
      <c r="AD10" s="1579" t="s">
        <v>323</v>
      </c>
      <c r="AE10" s="1574" t="s">
        <v>324</v>
      </c>
      <c r="AF10" s="2195"/>
      <c r="AG10" s="2196"/>
      <c r="AH10" s="2193"/>
      <c r="AI10" s="2176"/>
      <c r="AJ10" s="1575"/>
      <c r="AK10" s="255" t="s">
        <v>325</v>
      </c>
      <c r="AL10" s="255" t="s">
        <v>144</v>
      </c>
      <c r="BM10" s="294">
        <v>23</v>
      </c>
    </row>
    <row customHeight="1" ht="15">
      <c r="D11" s="2184" t="s">
        <v>124</v>
      </c>
      <c r="E11" s="2180" t="s">
        <v>326</v>
      </c>
      <c r="F11" s="2180" t="s">
        <v>327</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107</v>
      </c>
      <c r="E17" s="2180" t="s">
        <v>326</v>
      </c>
      <c r="F17" s="2180" t="s">
        <v>328</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93</v>
      </c>
      <c r="E23" s="2180" t="s">
        <v>326</v>
      </c>
      <c r="F23" s="2180" t="s">
        <v>329</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101</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94</v>
      </c>
      <c r="E29" s="2180" t="s">
        <v>326</v>
      </c>
      <c r="F29" s="2180" t="s">
        <v>330</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125</v>
      </c>
      <c r="E35" s="2180" t="s">
        <v>326</v>
      </c>
      <c r="F35" s="2180" t="s">
        <v>331</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85</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DA6868-01B8-FC28-3A58-D3B89203C28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332</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9"/>
      <c r="F4" s="2160"/>
      <c r="I4" s="716"/>
      <c r="J4" s="456">
        <v>26</v>
      </c>
    </row>
    <row customHeight="1" ht="18">
      <c r="D5" s="2177" t="str">
        <f>IF(org=0,"Не определено",org)</f>
        <v>КГУП "Примтеплоэнерго"</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333</v>
      </c>
      <c r="E8" s="2206"/>
      <c r="F8" s="2206"/>
      <c r="G8" s="2209" t="s">
        <v>334</v>
      </c>
      <c r="J8" s="456">
        <v>11</v>
      </c>
    </row>
    <row customHeight="1" ht="11.549999999999999">
      <c r="A9" s="458"/>
      <c r="B9" s="503"/>
      <c r="C9" s="458"/>
      <c r="D9" s="473" t="s">
        <v>91</v>
      </c>
      <c r="E9" s="447" t="s">
        <v>335</v>
      </c>
      <c r="F9" s="447" t="s">
        <v>336</v>
      </c>
      <c r="G9" s="2210"/>
      <c r="J9" s="456">
        <v>11</v>
      </c>
    </row>
    <row customHeight="1" ht="12" hidden="1">
      <c r="A10" s="458"/>
      <c r="B10" s="503"/>
      <c r="C10" s="458"/>
      <c r="D10" s="465"/>
      <c r="E10" s="465"/>
      <c r="F10" s="465"/>
      <c r="G10" s="465"/>
      <c r="J10" s="456">
        <v>0</v>
      </c>
    </row>
    <row customHeight="1" ht="22.5" hidden="1">
      <c r="A11" s="458"/>
      <c r="B11" s="503"/>
      <c r="C11" s="458"/>
      <c r="D11" s="1010" t="s">
        <v>124</v>
      </c>
      <c r="E11" s="1013" t="s">
        <v>337</v>
      </c>
      <c r="F11" s="1012" t="str">
        <f>IF(region_name="","",region_name)</f>
        <v>Приморский край</v>
      </c>
      <c r="G11" s="1013" t="s">
        <v>338</v>
      </c>
      <c r="H11" s="476"/>
      <c r="J11" s="456">
        <v>0</v>
      </c>
    </row>
    <row customHeight="1" ht="22.5" hidden="1">
      <c r="A12" s="458"/>
      <c r="B12" s="503"/>
      <c r="C12" s="458"/>
      <c r="D12" s="446" t="s">
        <v>124</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4" t="s">
        <v>339</v>
      </c>
      <c r="G12" s="475"/>
      <c r="H12" s="476"/>
      <c r="J12" s="456">
        <v>0</v>
      </c>
    </row>
    <row customHeight="1" ht="23.25">
      <c r="A13" s="458"/>
      <c r="B13" s="503"/>
      <c r="C13" s="458"/>
      <c r="D13" s="446" t="s">
        <v>124</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6"/>
      <c r="J13" s="456">
        <v>22</v>
      </c>
    </row>
    <row customHeight="1" ht="22.5" hidden="1">
      <c r="A14" s="458"/>
      <c r="B14" s="503"/>
      <c r="C14" s="458"/>
      <c r="D14" s="1010" t="s">
        <v>340</v>
      </c>
      <c r="E14" s="1011" t="s">
        <v>341</v>
      </c>
      <c r="F14" s="1012" t="str">
        <f>IF(inn="","",inn)</f>
        <v>2536112729</v>
      </c>
      <c r="G14" s="1013" t="s">
        <v>342</v>
      </c>
      <c r="H14" s="476"/>
      <c r="J14" s="456">
        <v>0</v>
      </c>
    </row>
    <row customHeight="1" ht="22.5" hidden="1">
      <c r="A15" s="458"/>
      <c r="B15" s="503"/>
      <c r="C15" s="458"/>
      <c r="D15" s="1010" t="s">
        <v>343</v>
      </c>
      <c r="E15" s="1011" t="s">
        <v>344</v>
      </c>
      <c r="F15" s="1012" t="str">
        <f>IF(kpp="","",kpp)</f>
        <v>253801001</v>
      </c>
      <c r="G15" s="1013" t="s">
        <v>345</v>
      </c>
      <c r="H15" s="476"/>
      <c r="J15" s="456">
        <v>0</v>
      </c>
    </row>
    <row customHeight="1" ht="39">
      <c r="A16" s="458"/>
      <c r="B16" s="503"/>
      <c r="C16" s="458"/>
      <c r="D16" s="446" t="s">
        <v>107</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93</v>
      </c>
      <c r="E17" s="443" t="str">
        <f>"Дата присвоения ОГРН"&amp;IF(TEMPLATE_SPHERE="TKO",""," (ОГРНИП)")</f>
        <v>Дата присвоения ОГРН (ОГРНИП)</v>
      </c>
      <c r="F17" s="1733" t="s">
        <v>28</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94</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346</v>
      </c>
      <c r="B19" s="503"/>
      <c r="C19" s="2214"/>
      <c r="D19" s="446" t="str">
        <f>A19</f>
        <v>5.1</v>
      </c>
      <c r="E19" s="443" t="s">
        <v>347</v>
      </c>
      <c r="F19" s="444" t="s">
        <v>339</v>
      </c>
      <c r="G19" s="445" t="s">
        <v>348</v>
      </c>
      <c r="H19" s="476"/>
      <c r="I19" s="853"/>
      <c r="J19" s="456">
        <v>0</v>
      </c>
    </row>
    <row customHeight="1" ht="24" hidden="1">
      <c r="A20" s="2203"/>
      <c r="B20" s="503"/>
      <c r="C20" s="2214"/>
      <c r="D20" s="441" t="str">
        <f>D19&amp;".1"</f>
        <v>5.1.1</v>
      </c>
      <c r="E20" s="440" t="s">
        <v>349</v>
      </c>
      <c r="F20" s="882" t="s">
        <v>28</v>
      </c>
      <c r="G20" s="475"/>
      <c r="H20" s="476"/>
      <c r="I20" s="853"/>
      <c r="J20" s="456">
        <v>0</v>
      </c>
    </row>
    <row customHeight="1" ht="22.5" hidden="1">
      <c r="A21" s="2203"/>
      <c r="B21" s="503"/>
      <c r="C21" s="2214"/>
      <c r="D21" s="441" t="str">
        <f>D19&amp;".2"</f>
        <v>5.1.2</v>
      </c>
      <c r="E21" s="440" t="s">
        <v>350</v>
      </c>
      <c r="F21" s="1734" t="s">
        <v>28</v>
      </c>
      <c r="G21" s="445" t="s">
        <v>351</v>
      </c>
      <c r="H21" s="476"/>
      <c r="I21" s="853"/>
      <c r="J21" s="456">
        <v>0</v>
      </c>
    </row>
    <row customHeight="1" ht="22.5" hidden="1">
      <c r="A22" s="2203"/>
      <c r="B22" s="503"/>
      <c r="C22" s="2214"/>
      <c r="D22" s="441" t="str">
        <f>D19&amp;".3"</f>
        <v>5.1.3</v>
      </c>
      <c r="E22" s="440" t="s">
        <v>352</v>
      </c>
      <c r="F22" s="882" t="s">
        <v>28</v>
      </c>
      <c r="G22" s="475"/>
      <c r="H22" s="476"/>
      <c r="I22" s="853"/>
      <c r="J22" s="456">
        <v>0</v>
      </c>
    </row>
    <row customHeight="1" ht="22.5" hidden="1">
      <c r="A23" s="2203"/>
      <c r="B23" s="503"/>
      <c r="C23" s="2214"/>
      <c r="D23" s="441" t="str">
        <f>D19&amp;".4"</f>
        <v>5.1.4</v>
      </c>
      <c r="E23" s="440" t="s">
        <v>353</v>
      </c>
      <c r="F23" s="882" t="s">
        <v>28</v>
      </c>
      <c r="G23" s="445" t="s">
        <v>354</v>
      </c>
      <c r="H23" s="476"/>
      <c r="I23" s="853"/>
      <c r="J23" s="456">
        <v>0</v>
      </c>
    </row>
    <row customHeight="1" ht="22.5" hidden="1">
      <c r="A24" s="1979"/>
      <c r="B24" s="503"/>
      <c r="C24" s="493"/>
      <c r="D24" s="468"/>
      <c r="E24" s="1169" t="s">
        <v>355</v>
      </c>
      <c r="F24" s="469"/>
      <c r="G24" s="470"/>
      <c r="H24" s="476"/>
      <c r="I24" s="853"/>
      <c r="J24" s="456">
        <v>0</v>
      </c>
    </row>
    <row s="502" customFormat="1" customHeight="1" ht="24.75" hidden="1">
      <c r="A25" s="458"/>
      <c r="B25" s="503"/>
      <c r="C25" s="503"/>
      <c r="D25" s="1007" t="s">
        <v>93</v>
      </c>
      <c r="E25" s="1009" t="s">
        <v>356</v>
      </c>
      <c r="F25" s="1014" t="s">
        <v>339</v>
      </c>
      <c r="G25" s="1009"/>
      <c r="J25" s="502">
        <v>0</v>
      </c>
    </row>
    <row s="502" customFormat="1" customHeight="1" ht="11.25" hidden="1">
      <c r="A26" s="458"/>
      <c r="B26" s="503"/>
      <c r="C26" s="503"/>
      <c r="D26" s="1007" t="s">
        <v>357</v>
      </c>
      <c r="E26" s="1008" t="s">
        <v>358</v>
      </c>
      <c r="F26" s="1014" t="s">
        <v>339</v>
      </c>
      <c r="G26" s="1009"/>
      <c r="J26" s="502">
        <v>0</v>
      </c>
    </row>
    <row s="502" customFormat="1" customHeight="1" ht="11.25" hidden="1">
      <c r="A27" s="458"/>
      <c r="B27" s="503"/>
      <c r="C27" s="503"/>
      <c r="D27" s="1007" t="s">
        <v>359</v>
      </c>
      <c r="E27" s="1015" t="s">
        <v>360</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361</v>
      </c>
      <c r="E28" s="1015" t="s">
        <v>362</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363</v>
      </c>
      <c r="E29" s="1015" t="s">
        <v>364</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365</v>
      </c>
      <c r="E30" s="1008" t="s">
        <v>366</v>
      </c>
      <c r="F30" s="1016"/>
      <c r="G30" s="1009"/>
      <c r="J30" s="502">
        <v>0</v>
      </c>
    </row>
    <row s="502" customFormat="1" customHeight="1" ht="11.25" hidden="1">
      <c r="A31" s="458"/>
      <c r="B31" s="503"/>
      <c r="C31" s="503"/>
      <c r="D31" s="1007" t="s">
        <v>367</v>
      </c>
      <c r="E31" s="1008" t="s">
        <v>368</v>
      </c>
      <c r="F31" s="1016"/>
      <c r="G31" s="1009"/>
      <c r="J31" s="502">
        <v>0</v>
      </c>
    </row>
    <row s="502" customFormat="1" customHeight="1" ht="11.25" hidden="1">
      <c r="A32" s="458"/>
      <c r="B32" s="503"/>
      <c r="C32" s="503"/>
      <c r="D32" s="1007" t="s">
        <v>369</v>
      </c>
      <c r="E32" s="1008" t="s">
        <v>370</v>
      </c>
      <c r="F32" s="1017"/>
      <c r="G32" s="1009"/>
      <c r="J32" s="502">
        <v>0</v>
      </c>
    </row>
    <row customHeight="1" ht="24">
      <c r="A33" s="458" t="str">
        <f>IF(TEMPLATE_SPHERE="HEAT","6","5")</f>
        <v>6</v>
      </c>
      <c r="B33" s="503"/>
      <c r="C33" s="458"/>
      <c r="D33" s="441" t="str">
        <f>A33</f>
        <v>6</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4" t="s">
        <v>339</v>
      </c>
      <c r="G33" s="475"/>
      <c r="H33" s="476"/>
      <c r="J33" s="456">
        <v>23</v>
      </c>
    </row>
    <row customHeight="1" ht="23.25">
      <c r="A34" s="458"/>
      <c r="B34" s="503"/>
      <c r="C34" s="458"/>
      <c r="D34" s="441" t="str">
        <f>D33&amp;".1"</f>
        <v>6.1</v>
      </c>
      <c r="E34" s="443" t="str">
        <f>"фамилия"&amp;IF(TEMPLATE_SPHERE&lt;&gt;"HEAT"," руководителя","")</f>
        <v>фамилия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6"/>
      <c r="J34" s="456">
        <v>22</v>
      </c>
    </row>
    <row customHeight="1" ht="23.25">
      <c r="A35" s="458"/>
      <c r="B35" s="503"/>
      <c r="C35" s="458"/>
      <c r="D35" s="441" t="str">
        <f>D33&amp;".2"</f>
        <v>6.2</v>
      </c>
      <c r="E35" s="443" t="str">
        <f>"имя"&amp;IF(TEMPLATE_SPHERE&lt;&gt;"HEAT"," руководителя","")</f>
        <v>имя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6"/>
      <c r="J35" s="456">
        <v>22</v>
      </c>
    </row>
    <row customHeight="1" ht="24">
      <c r="A36" s="458"/>
      <c r="B36" s="503"/>
      <c r="C36" s="458"/>
      <c r="D36" s="441" t="str">
        <f>D33&amp;".3"</f>
        <v>6.3</v>
      </c>
      <c r="E36" s="443" t="str">
        <f>"отчество"&amp;IF(TEMPLATE_SPHERE&lt;&gt;"HEAT"," руководителя","")</f>
        <v>отчество</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6"/>
      <c r="J36" s="456">
        <v>23</v>
      </c>
    </row>
    <row customHeight="1" ht="35.699999999999996">
      <c r="A37" s="458"/>
      <c r="B37" s="503"/>
      <c r="C37" s="458"/>
      <c r="D37" s="441">
        <f>D33+1</f>
        <v>7</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2"/>
      <c r="G37" s="445" t="s">
        <v>371</v>
      </c>
      <c r="H37" s="476"/>
      <c r="J37" s="456">
        <v>34</v>
      </c>
    </row>
    <row customHeight="1" ht="35.699999999999996">
      <c r="A38" s="458"/>
      <c r="B38" s="503"/>
      <c r="C38" s="458"/>
      <c r="D38" s="441">
        <f>D37+1</f>
        <v>8</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2"/>
      <c r="G38" s="445" t="s">
        <v>371</v>
      </c>
      <c r="H38" s="476"/>
      <c r="J38" s="456">
        <v>34</v>
      </c>
    </row>
    <row customHeight="1" ht="23.25">
      <c r="A39" s="458"/>
      <c r="B39" s="503"/>
      <c r="C39" s="458"/>
      <c r="D39" s="441">
        <f>D38+1</f>
        <v>9</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4" t="s">
        <v>339</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9.0</v>
      </c>
      <c r="E40" s="1606"/>
      <c r="F40" s="882"/>
      <c r="G40" s="2212"/>
      <c r="H40" s="476"/>
      <c r="J40" s="456">
        <v>0</v>
      </c>
    </row>
    <row customHeight="1" ht="23.25">
      <c r="A41" s="458"/>
      <c r="B41" s="458"/>
      <c r="C41" s="1689"/>
      <c r="D41" s="441" t="str">
        <f>D39&amp;".1"</f>
        <v>9.1</v>
      </c>
      <c r="E41" s="861"/>
      <c r="F41" s="862"/>
      <c r="G41" s="2212"/>
      <c r="H41" s="476"/>
      <c r="J41" s="456">
        <v>22</v>
      </c>
    </row>
    <row customHeight="1" ht="15.75">
      <c r="A42" s="458"/>
      <c r="B42" s="503"/>
      <c r="C42" s="458"/>
      <c r="D42" s="468"/>
      <c r="E42" s="416" t="s">
        <v>372</v>
      </c>
      <c r="F42" s="470"/>
      <c r="G42" s="2213"/>
      <c r="H42" s="477"/>
      <c r="J42" s="456">
        <v>15</v>
      </c>
    </row>
    <row customHeight="1" ht="27.299999999999997">
      <c r="A43" s="458"/>
      <c r="B43" s="503"/>
      <c r="C43" s="458"/>
      <c r="D43" s="441">
        <f>D39+1</f>
        <v>10</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11</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9"/>
      <c r="G44" s="475" t="s">
        <v>373</v>
      </c>
      <c r="H44" s="476"/>
      <c r="J44" s="456">
        <v>22</v>
      </c>
    </row>
    <row customHeight="1" ht="23.25">
      <c r="A45" s="458"/>
      <c r="B45" s="503"/>
      <c r="C45" s="458"/>
      <c r="D45" s="441">
        <f>D44+1</f>
        <v>12</v>
      </c>
      <c r="E45" s="439" t="s">
        <v>374</v>
      </c>
      <c r="F45" s="444" t="s">
        <v>339</v>
      </c>
      <c r="G45" s="438" t="str">
        <f>IF(TEMPLATE_SPHERE="TKO","Указывается режим работы организации.","")</f>
        <v/>
      </c>
      <c r="H45" s="476"/>
      <c r="J45" s="456">
        <v>22</v>
      </c>
    </row>
    <row customHeight="1" ht="24">
      <c r="A46" s="458"/>
      <c r="B46" s="503"/>
      <c r="C46" s="458"/>
      <c r="D46" s="441" t="str">
        <f>D45&amp;".1"</f>
        <v>12.1</v>
      </c>
      <c r="E46" s="443" t="str">
        <f>"режим работы регулируемой организации"&amp;IF(TEMPLATE_SPHERE="HEAT",", ЕТО, ТО","")</f>
        <v>режим работы регулируемой организации, ЕТО, ТО</v>
      </c>
      <c r="F46" s="1685"/>
      <c r="G46" s="438" t="s">
        <v>375</v>
      </c>
      <c r="H46" s="476"/>
      <c r="J46" s="456">
        <v>23</v>
      </c>
    </row>
    <row customHeight="1" ht="24">
      <c r="A47" s="2203"/>
      <c r="B47" s="503"/>
      <c r="C47" s="493"/>
      <c r="D47" s="441" t="str">
        <f>D45&amp;".2"</f>
        <v>12.2</v>
      </c>
      <c r="E47" s="443" t="s">
        <v>376</v>
      </c>
      <c r="F47" s="491"/>
      <c r="G47" s="438" t="s">
        <v>377</v>
      </c>
      <c r="H47" s="476"/>
      <c r="J47" s="456">
        <v>23</v>
      </c>
    </row>
    <row customHeight="1" ht="24">
      <c r="A48" s="2203"/>
      <c r="B48" s="503"/>
      <c r="C48" s="493"/>
      <c r="D48" s="441" t="str">
        <f>D45&amp;".3"</f>
        <v>12.3</v>
      </c>
      <c r="E48" s="443" t="s">
        <v>378</v>
      </c>
      <c r="F48" s="491"/>
      <c r="G48" s="438" t="s">
        <v>379</v>
      </c>
      <c r="H48" s="476"/>
      <c r="J48" s="456">
        <v>23</v>
      </c>
    </row>
    <row customHeight="1" ht="24">
      <c r="A49" s="2203"/>
      <c r="B49" s="503"/>
      <c r="C49" s="493"/>
      <c r="D49" s="441" t="str">
        <f>IF(TEMPLATE_SPHERE="TKO",D45&amp;".0",D45&amp;".4")</f>
        <v>12.4</v>
      </c>
      <c r="E49" s="437" t="s">
        <v>380</v>
      </c>
      <c r="F49" s="1686"/>
      <c r="G49" s="1763" t="s">
        <v>381</v>
      </c>
      <c r="H49" s="476"/>
      <c r="J49" s="456">
        <v>23</v>
      </c>
    </row>
    <row customHeight="1" ht="24">
      <c r="A50" s="458"/>
      <c r="B50" s="503"/>
      <c r="C50" s="458"/>
      <c r="D50" s="468"/>
      <c r="E50" s="416" t="s">
        <v>382</v>
      </c>
      <c r="F50" s="469"/>
      <c r="G50" s="1763" t="s">
        <v>383</v>
      </c>
      <c r="H50" s="477"/>
      <c r="J50" s="456">
        <v>23</v>
      </c>
    </row>
    <row customHeight="1" ht="24">
      <c r="A51" s="859"/>
      <c r="B51" s="503"/>
      <c r="C51" s="493"/>
      <c r="D51" s="441">
        <f>D45+1</f>
        <v>13</v>
      </c>
      <c r="E51" s="529" t="s">
        <v>384</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85</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39D388-2A28-2568-9638-D43D551D7528}"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customWidth="1"/>
    <col min="12" max="12" style="1636" width="9.7109375" customWidth="1"/>
    <col min="13" max="18" style="1636" width="19.8515625"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hidden="1" customWidth="1"/>
    <col min="30" max="30" style="1636" width="1.7109375" hidden="1" customWidth="1"/>
    <col min="31" max="31" style="1636" width="103.7109375" customWidth="1"/>
    <col min="32"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385</v>
      </c>
      <c r="I1" s="2218"/>
      <c r="J1" s="2218"/>
      <c r="K1" s="2218"/>
      <c r="L1" s="2218"/>
      <c r="M1" s="2218"/>
      <c r="N1" s="2218"/>
      <c r="O1" s="2218"/>
      <c r="P1" s="2218"/>
      <c r="Q1" s="2218"/>
      <c r="R1" s="2218"/>
      <c r="T1" s="2218" t="s">
        <v>386</v>
      </c>
      <c r="U1" s="2218"/>
      <c r="V1" s="2218"/>
      <c r="X1" s="2218" t="s">
        <v>387</v>
      </c>
      <c r="Y1" s="2218"/>
      <c r="Z1" s="2218"/>
      <c r="AB1" s="2218" t="s">
        <v>388</v>
      </c>
      <c r="AC1" s="2218"/>
      <c r="AT1" s="448" t="s">
        <v>14</v>
      </c>
    </row>
    <row customHeight="1" ht="14.25" hidden="1">
      <c r="AT2" s="448">
        <v>0</v>
      </c>
    </row>
    <row s="1614" customFormat="1" customHeight="1" ht="5.25">
      <c r="C3" s="702"/>
      <c r="D3" s="703"/>
      <c r="E3" s="703"/>
      <c r="F3" s="703"/>
      <c r="G3" s="703"/>
      <c r="H3" s="703" t="s">
        <v>389</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КГУП "Примтеплоэнерго"</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333</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334</v>
      </c>
      <c r="AF7" s="2224" t="s">
        <v>334</v>
      </c>
      <c r="AG7" s="2224" t="s">
        <v>334</v>
      </c>
      <c r="AH7" s="2224" t="s">
        <v>334</v>
      </c>
      <c r="AT7" s="448">
        <v>14</v>
      </c>
    </row>
    <row customHeight="1" ht="27.299999999999997">
      <c r="C8" s="451"/>
      <c r="D8" s="2128" t="s">
        <v>91</v>
      </c>
      <c r="E8" s="2224" t="str">
        <f>"Наименование "&amp;IF(TEMPLATE_SPHERE&lt;&gt;"HEAT","централизованной ","")&amp;"системы "&amp;TEMPLATE_SPHERE_RUS</f>
        <v>Наименование системы теплоснабжения</v>
      </c>
      <c r="F8" s="2224" t="str">
        <f>IF(TEMPLATE_SPHERE&lt;&gt;"HEAT","Регулируемый вид деятельности","Вид регулируемой деятельности")</f>
        <v>Вид регулируемой деятельности</v>
      </c>
      <c r="G8" s="829"/>
      <c r="H8" s="2225" t="s">
        <v>390</v>
      </c>
      <c r="I8" s="2227" t="s">
        <v>391</v>
      </c>
      <c r="J8" s="2224" t="s">
        <v>392</v>
      </c>
      <c r="K8" s="2224"/>
      <c r="L8" s="2224"/>
      <c r="M8" s="2219"/>
      <c r="N8" s="2224" t="s">
        <v>393</v>
      </c>
      <c r="O8" s="2224"/>
      <c r="P8" s="2224" t="s">
        <v>394</v>
      </c>
      <c r="Q8" s="2224"/>
      <c r="R8" s="2231" t="s">
        <v>395</v>
      </c>
      <c r="S8" s="825"/>
      <c r="T8" s="2229" t="s">
        <v>396</v>
      </c>
      <c r="U8" s="2229" t="s">
        <v>397</v>
      </c>
      <c r="V8" s="2229" t="s">
        <v>398</v>
      </c>
      <c r="W8" s="827"/>
      <c r="X8" s="2229" t="s">
        <v>399</v>
      </c>
      <c r="Y8" s="2229" t="s">
        <v>400</v>
      </c>
      <c r="Z8" s="2229" t="s">
        <v>401</v>
      </c>
      <c r="AA8" s="827"/>
      <c r="AB8" s="2229" t="s">
        <v>402</v>
      </c>
      <c r="AC8" s="2229" t="s">
        <v>395</v>
      </c>
      <c r="AD8" s="827"/>
      <c r="AE8" s="2224"/>
      <c r="AF8" s="2224"/>
      <c r="AG8" s="2224"/>
      <c r="AH8" s="2224"/>
      <c r="AT8" s="448">
        <v>26</v>
      </c>
    </row>
    <row customHeight="1" ht="46.199999999999996">
      <c r="C9" s="451"/>
      <c r="D9" s="2128"/>
      <c r="E9" s="2224"/>
      <c r="F9" s="2224"/>
      <c r="G9" s="830"/>
      <c r="H9" s="2226"/>
      <c r="I9" s="2228"/>
      <c r="J9" s="426" t="s">
        <v>403</v>
      </c>
      <c r="K9" s="426" t="s">
        <v>404</v>
      </c>
      <c r="L9" s="426" t="s">
        <v>405</v>
      </c>
      <c r="M9" s="432" t="s">
        <v>406</v>
      </c>
      <c r="N9" s="426" t="s">
        <v>407</v>
      </c>
      <c r="O9" s="426" t="s">
        <v>406</v>
      </c>
      <c r="P9" s="426" t="s">
        <v>408</v>
      </c>
      <c r="Q9" s="426" t="s">
        <v>406</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409</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124</v>
      </c>
      <c r="E12" s="1778" t="s">
        <v>28</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410</v>
      </c>
      <c r="AF12" s="2222" t="s">
        <v>411</v>
      </c>
      <c r="AG12" s="2222" t="s">
        <v>412</v>
      </c>
      <c r="AH12" s="2222" t="s">
        <v>413</v>
      </c>
      <c r="AI12" s="448"/>
      <c r="AM12" s="512"/>
      <c r="AP12" s="501" t="s">
        <v>414</v>
      </c>
      <c r="AQ12" s="501" t="s">
        <v>414</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85</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286217-06F8-C828-1915-4BDDFD69798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385</v>
      </c>
      <c r="I1" s="2218"/>
      <c r="V1" s="1608" t="s">
        <v>14</v>
      </c>
    </row>
    <row s="1636" customFormat="1" customHeight="1" ht="14.25" hidden="1">
      <c r="C2" s="1620"/>
      <c r="D2" s="2234" t="s">
        <v>124</v>
      </c>
      <c r="E2" s="2236"/>
      <c r="F2" s="1626"/>
      <c r="G2" s="1621" t="s">
        <v>124</v>
      </c>
      <c r="H2" s="1624"/>
      <c r="I2" s="1622"/>
      <c r="L2" s="1623"/>
      <c r="M2" s="1623"/>
      <c r="N2" s="1623"/>
      <c r="O2" s="1623" t="s">
        <v>415</v>
      </c>
      <c r="P2" s="1623"/>
      <c r="Q2" s="1623"/>
      <c r="R2" s="1625" t="s">
        <v>414</v>
      </c>
      <c r="S2" s="1625" t="s">
        <v>414</v>
      </c>
      <c r="T2" s="1623"/>
      <c r="U2" s="1623"/>
      <c r="V2" s="1619">
        <v>0</v>
      </c>
    </row>
    <row s="1636" customFormat="1" customHeight="1" ht="14.25" hidden="1">
      <c r="C3" s="1620"/>
      <c r="D3" s="2235"/>
      <c r="E3" s="2237"/>
      <c r="F3" s="406"/>
      <c r="G3" s="870"/>
      <c r="H3" s="870" t="s">
        <v>416</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389</v>
      </c>
      <c r="I5" s="703"/>
      <c r="J5" s="703"/>
      <c r="L5" s="1615"/>
      <c r="M5" s="1615"/>
      <c r="N5" s="1615"/>
      <c r="O5" s="1615"/>
      <c r="P5" s="1615"/>
      <c r="Q5" s="1615"/>
      <c r="R5" s="1615"/>
      <c r="S5" s="1615"/>
      <c r="T5" s="1615"/>
      <c r="U5" s="1615"/>
      <c r="V5" s="1614">
        <v>5</v>
      </c>
    </row>
    <row customHeight="1" ht="29.25">
      <c r="C6" s="1517"/>
      <c r="D6" s="2238" t="s">
        <v>417</v>
      </c>
      <c r="E6" s="2238"/>
      <c r="F6" s="2238"/>
      <c r="G6" s="2238"/>
      <c r="H6" s="2238"/>
      <c r="I6" s="2238"/>
      <c r="J6" s="492"/>
      <c r="K6" s="1616"/>
      <c r="V6" s="1608">
        <v>28</v>
      </c>
    </row>
    <row customHeight="1" ht="18">
      <c r="C7" s="1517"/>
      <c r="D7" s="2177" t="str">
        <f>IF(org=0,"Не определено",org)</f>
        <v>КГУП "Примтеплоэнерго"</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333</v>
      </c>
      <c r="E10" s="2220"/>
      <c r="F10" s="2220"/>
      <c r="G10" s="2220"/>
      <c r="H10" s="2220"/>
      <c r="I10" s="2220"/>
      <c r="J10" s="2224" t="s">
        <v>334</v>
      </c>
      <c r="V10" s="1608">
        <v>14</v>
      </c>
    </row>
    <row customHeight="1" ht="27.299999999999997">
      <c r="C11" s="1517"/>
      <c r="D11" s="2128" t="s">
        <v>91</v>
      </c>
      <c r="E11" s="2224" t="s">
        <v>120</v>
      </c>
      <c r="F11" s="2193" t="s">
        <v>91</v>
      </c>
      <c r="G11" s="2194"/>
      <c r="H11" s="2176" t="s">
        <v>418</v>
      </c>
      <c r="I11" s="2176" t="s">
        <v>419</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409</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124</v>
      </c>
      <c r="E14" s="2236"/>
      <c r="F14" s="1618"/>
      <c r="G14" s="1617" t="s">
        <v>124</v>
      </c>
      <c r="H14" s="1624"/>
      <c r="I14" s="1622"/>
      <c r="J14" s="2170" t="s">
        <v>420</v>
      </c>
      <c r="K14" s="1608"/>
      <c r="R14" s="501" t="s">
        <v>414</v>
      </c>
      <c r="S14" s="501" t="s">
        <v>414</v>
      </c>
      <c r="V14" s="1608">
        <v>14</v>
      </c>
    </row>
    <row customHeight="1" ht="14.699999999999998">
      <c r="A15" s="1608"/>
      <c r="C15" s="1517"/>
      <c r="D15" s="2235"/>
      <c r="E15" s="2237"/>
      <c r="F15" s="406"/>
      <c r="G15" s="870"/>
      <c r="H15" s="870" t="s">
        <v>416</v>
      </c>
      <c r="I15" s="314"/>
      <c r="J15" s="2171"/>
      <c r="K15" s="1608"/>
      <c r="R15" s="501"/>
      <c r="S15" s="501"/>
      <c r="V15" s="1608">
        <v>14</v>
      </c>
    </row>
    <row customHeight="1" ht="14.699999999999998">
      <c r="A16" s="1608"/>
      <c r="C16" s="1517"/>
      <c r="D16" s="406"/>
      <c r="E16" s="870" t="s">
        <v>135</v>
      </c>
      <c r="F16" s="314"/>
      <c r="G16" s="314"/>
      <c r="H16" s="407"/>
      <c r="I16" s="407"/>
      <c r="J16" s="2172"/>
      <c r="K16" s="1608"/>
      <c r="V16" s="1608">
        <v>14</v>
      </c>
    </row>
    <row customHeight="1" ht="14.699999999999998">
      <c r="K17" s="1608"/>
      <c r="V17" s="1608">
        <v>14</v>
      </c>
    </row>
    <row customHeight="1" ht="22.5" hidden="1">
      <c r="A18" s="1609" t="s">
        <v>85</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DD8178-619C-4884-2898-4B39B447881A}"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86</v>
      </c>
      <c r="H1" s="490" t="s">
        <v>87</v>
      </c>
      <c r="I1" s="490" t="s">
        <v>88</v>
      </c>
      <c r="P1" s="490" t="s">
        <v>86</v>
      </c>
      <c r="Q1" s="490" t="s">
        <v>87</v>
      </c>
      <c r="R1" s="490" t="s">
        <v>88</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421</v>
      </c>
      <c r="F4" s="2239"/>
      <c r="G4" s="2240"/>
      <c r="H4" s="2240"/>
      <c r="I4" s="2241"/>
      <c r="J4" s="492"/>
      <c r="K4" s="454"/>
      <c r="L4" s="454"/>
      <c r="W4" s="448">
        <v>22</v>
      </c>
    </row>
    <row s="1636" customFormat="1" customHeight="1" ht="18">
      <c r="A5" s="760"/>
      <c r="D5" s="823"/>
      <c r="E5" s="2215" t="str">
        <f>IF(org=0,"Не определено",org)</f>
        <v>КГУП "Примтеплоэнерго"</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333</v>
      </c>
      <c r="F7" s="2209"/>
      <c r="G7" s="2210"/>
      <c r="H7" s="2210"/>
      <c r="I7" s="2210"/>
      <c r="J7" s="2210"/>
      <c r="K7" s="2210"/>
      <c r="L7" s="2224" t="s">
        <v>334</v>
      </c>
      <c r="W7" s="448">
        <v>14</v>
      </c>
    </row>
    <row customHeight="1" ht="48.29999999999999">
      <c r="D8" s="451"/>
      <c r="E8" s="474" t="s">
        <v>91</v>
      </c>
      <c r="F8" s="824"/>
      <c r="G8" s="466" t="s">
        <v>89</v>
      </c>
      <c r="H8" s="466" t="s">
        <v>90</v>
      </c>
      <c r="I8" s="415" t="s">
        <v>88</v>
      </c>
      <c r="J8" s="415" t="s">
        <v>422</v>
      </c>
      <c r="K8" s="415" t="s">
        <v>423</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424</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64</v>
      </c>
      <c r="K12" s="1165" t="s">
        <v>28</v>
      </c>
      <c r="L12" s="2242"/>
      <c r="M12" s="512"/>
      <c r="N12" s="512"/>
      <c r="O12" s="512"/>
      <c r="P12" s="517" t="s">
        <v>425</v>
      </c>
      <c r="Q12" s="517" t="s">
        <v>426</v>
      </c>
      <c r="R12" s="518" t="s">
        <v>427</v>
      </c>
      <c r="S12" s="512" t="s">
        <v>428</v>
      </c>
      <c r="T12" s="512"/>
      <c r="U12" s="512"/>
      <c r="V12" s="512"/>
      <c r="W12" s="481">
        <v>14</v>
      </c>
    </row>
    <row customHeight="1" ht="15.75">
      <c r="A13" s="2100"/>
      <c r="B13" s="506"/>
      <c r="D13" s="507"/>
      <c r="E13" s="406"/>
      <c r="F13" s="530"/>
      <c r="G13" s="417" t="s">
        <v>106</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85</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5762C8-6138-F1B7-6C4E-9E20574200B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137</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429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430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431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432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433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434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435</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436</v>
      </c>
      <c r="M6" s="538"/>
      <c r="P6" s="2258">
        <v>1</v>
      </c>
      <c r="Q6" s="1306"/>
      <c r="R6" s="357"/>
      <c r="S6" s="1310">
        <f>$I6</f>
      </c>
      <c r="T6" s="286" t="s">
        <v>437</v>
      </c>
      <c r="U6" s="301"/>
      <c r="V6" s="2246"/>
      <c r="W6" s="2247"/>
      <c r="X6" s="2247"/>
      <c r="Y6" s="2247"/>
      <c r="Z6" s="2247"/>
      <c r="AA6" s="2247"/>
      <c r="AB6" s="2247"/>
      <c r="AC6" s="2248"/>
      <c r="AD6" s="2246"/>
      <c r="AE6" s="2247"/>
      <c r="AF6" s="2247"/>
      <c r="AG6" s="2247"/>
      <c r="AH6" s="2247"/>
      <c r="AI6" s="2247"/>
      <c r="AJ6" s="2247"/>
      <c r="AK6" s="2247"/>
      <c r="AL6" s="2248"/>
      <c r="AM6" s="1259" t="s">
        <v>438</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439</v>
      </c>
      <c r="M7" s="538"/>
      <c r="N7" s="1367"/>
      <c r="P7" s="2258"/>
      <c r="Q7" s="2258">
        <v>1</v>
      </c>
      <c r="R7" s="358"/>
      <c r="S7" s="1310">
        <f>$J7</f>
      </c>
      <c r="T7" s="287" t="s">
        <v>440</v>
      </c>
      <c r="U7" s="301"/>
      <c r="V7" s="2246"/>
      <c r="W7" s="2247"/>
      <c r="X7" s="2247"/>
      <c r="Y7" s="2247"/>
      <c r="Z7" s="2247"/>
      <c r="AA7" s="2247"/>
      <c r="AB7" s="2247"/>
      <c r="AC7" s="2248"/>
      <c r="AD7" s="2246"/>
      <c r="AE7" s="2247"/>
      <c r="AF7" s="2247"/>
      <c r="AG7" s="2247"/>
      <c r="AH7" s="2247"/>
      <c r="AI7" s="2247"/>
      <c r="AJ7" s="2247"/>
      <c r="AK7" s="2247"/>
      <c r="AL7" s="2248"/>
      <c r="AM7" s="1259" t="s">
        <v>441</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442</v>
      </c>
      <c r="M8" s="538"/>
      <c r="N8" s="1367"/>
      <c r="O8" s="1367"/>
      <c r="P8" s="2258"/>
      <c r="Q8" s="2258"/>
      <c r="R8" s="358">
        <v>1</v>
      </c>
      <c r="S8" s="1310">
        <f>$K8</f>
      </c>
      <c r="T8" s="1348"/>
      <c r="U8" s="301"/>
      <c r="V8" s="752"/>
      <c r="W8" s="326"/>
      <c r="X8" s="752"/>
      <c r="Y8" s="1258"/>
      <c r="Z8" s="2266"/>
      <c r="AA8" s="2108" t="s">
        <v>64</v>
      </c>
      <c r="AB8" s="2266"/>
      <c r="AC8" s="2108" t="s">
        <v>64</v>
      </c>
      <c r="AD8" s="752"/>
      <c r="AE8" s="326"/>
      <c r="AF8" s="752"/>
      <c r="AG8" s="1258"/>
      <c r="AH8" s="2266"/>
      <c r="AI8" s="2108" t="s">
        <v>64</v>
      </c>
      <c r="AJ8" s="2266"/>
      <c r="AK8" s="2108" t="s">
        <v>64</v>
      </c>
      <c r="AL8" s="326"/>
      <c r="AM8" s="2254" t="s">
        <v>443</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444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445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446</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218</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219</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227</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64</v>
      </c>
      <c r="AJ17" s="2268"/>
      <c r="AK17" s="2269" t="s">
        <v>64</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447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448</v>
      </c>
      <c r="P22" s="1363"/>
      <c r="Q22" s="1372"/>
      <c r="R22" s="1372"/>
      <c r="S22" s="730"/>
      <c r="T22" s="1161" t="s">
        <v>449</v>
      </c>
      <c r="AA22" s="187" t="s">
        <v>450</v>
      </c>
      <c r="AC22" s="187" t="s">
        <v>451</v>
      </c>
      <c r="AD22" s="1161" t="s">
        <v>449</v>
      </c>
      <c r="AI22" s="187" t="s">
        <v>452</v>
      </c>
      <c r="AK22" s="187" t="s">
        <v>451</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КГУП "Примтеплоэнерго"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Агентство по тарифам Приморского края</v>
      </c>
      <c r="W29" s="2252"/>
      <c r="X29" s="2252"/>
      <c r="Y29" s="2252"/>
      <c r="Z29" s="2252"/>
      <c r="AA29" s="2252"/>
      <c r="AB29" s="2252"/>
      <c r="AC29" s="327"/>
      <c r="AD29" s="2252" t="str">
        <f>IF(TITLE_NAME_OR_PR_CHANGE="",IF(TITLE_NAME_OR_PR="","",TITLE_NAME_OR_PR),TITLE_NAME_OR_PR_CHANGE)</f>
        <v>Агентство по тарифам Приморского края</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453</v>
      </c>
      <c r="T30" s="2251"/>
      <c r="U30" s="1373"/>
      <c r="V30" s="2265" t="str">
        <f>IF(TITLE_DATE_PR_CHANGE="",IF(TITLE_DATE_PR="","",TITLE_DATE_PR),TITLE_DATE_PR_CHANGE)</f>
        <v>45777.43633101852</v>
      </c>
      <c r="W30" s="2265"/>
      <c r="X30" s="2265"/>
      <c r="Y30" s="2265"/>
      <c r="Z30" s="2265"/>
      <c r="AA30" s="2265"/>
      <c r="AB30" s="2265"/>
      <c r="AC30" s="327"/>
      <c r="AD30" s="2265" t="str">
        <f>IF(TITLE_DATE_PR_CHANGE="",IF(TITLE_DATE_PR="","",TITLE_DATE_PR),TITLE_DATE_PR_CHANGE)</f>
        <v>45777.43633101852</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454</v>
      </c>
      <c r="T31" s="2251"/>
      <c r="U31" s="1373"/>
      <c r="V31" s="2252" t="str">
        <f>IF(TITLE_NUMBER_PR_CHANGE="",IF(TITLE_NUMBER_PR="","",TITLE_NUMBER_PR),TITLE_NUMBER_PR_CHANGE)</f>
        <v>17-1</v>
      </c>
      <c r="W31" s="2252"/>
      <c r="X31" s="2252"/>
      <c r="Y31" s="2252"/>
      <c r="Z31" s="2252"/>
      <c r="AA31" s="2252"/>
      <c r="AB31" s="2252"/>
      <c r="AC31" s="327"/>
      <c r="AD31" s="2252" t="str">
        <f>IF(TITLE_NUMBER_PR_CHANGE="",IF(TITLE_NUMBER_PR="","",TITLE_NUMBER_PR),TITLE_NUMBER_PR_CHANGE)</f>
        <v>17-1</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http://pravo.gov.ru</v>
      </c>
      <c r="W32" s="2252"/>
      <c r="X32" s="2252"/>
      <c r="Y32" s="2252"/>
      <c r="Z32" s="2252"/>
      <c r="AA32" s="2252"/>
      <c r="AB32" s="2252"/>
      <c r="AC32" s="327"/>
      <c r="AD32" s="2252" t="str">
        <f>IF(TITLE_IST_PUB_CHANGE="",IF(TITLE_IST_PUB="","",TITLE_IST_PUB),TITLE_IST_PUB_CHANGE)</f>
        <v>http://pravo.gov.ru</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455</v>
      </c>
      <c r="T34" s="2251"/>
      <c r="U34" s="1373"/>
      <c r="V34" s="2265" t="str">
        <f>IF(TITLE_DATE_PR_CHANGE="",IF(TITLE_DATE_PR="","",TITLE_DATE_PR),TITLE_DATE_PR_CHANGE)</f>
        <v>45777.43633101852</v>
      </c>
      <c r="W34" s="2265"/>
      <c r="X34" s="2265"/>
      <c r="Y34" s="2265"/>
      <c r="Z34" s="2265"/>
      <c r="AA34" s="2265"/>
      <c r="AB34" s="2265"/>
      <c r="AC34" s="327"/>
      <c r="AD34" s="2265" t="str">
        <f>IF(TITLE_DATE_PR_CHANGE="",IF(TITLE_DATE_PR="","",TITLE_DATE_PR),TITLE_DATE_PR_CHANGE)</f>
        <v>45777.43633101852</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456</v>
      </c>
      <c r="T35" s="2251"/>
      <c r="U35" s="1373"/>
      <c r="V35" s="2252" t="str">
        <f>IF(TITLE_NUMBER_PR_CHANGE="",IF(TITLE_NUMBER_PR="","",TITLE_NUMBER_PR),TITLE_NUMBER_PR_CHANGE)</f>
        <v>17-1</v>
      </c>
      <c r="W35" s="2252"/>
      <c r="X35" s="2252"/>
      <c r="Y35" s="2252"/>
      <c r="Z35" s="2252"/>
      <c r="AA35" s="2252"/>
      <c r="AB35" s="2252"/>
      <c r="AC35" s="327"/>
      <c r="AD35" s="2252" t="str">
        <f>IF(TITLE_NUMBER_PR_CHANGE="",IF(TITLE_NUMBER_PR="","",TITLE_NUMBER_PR),TITLE_NUMBER_PR_CHANGE)</f>
        <v>17-1</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457</v>
      </c>
      <c r="AD36" s="327"/>
      <c r="AE36" s="327"/>
      <c r="AF36" s="327"/>
      <c r="AG36" s="327"/>
      <c r="AH36" s="327"/>
      <c r="AI36" s="327"/>
      <c r="AJ36" s="327"/>
      <c r="AK36" s="279" t="s">
        <v>457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333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334</v>
      </c>
      <c r="AS38" s="1156">
        <v>14</v>
      </c>
    </row>
    <row customHeight="1" ht="14.699999999999998">
      <c r="Q39" s="377"/>
      <c r="R39" s="377"/>
      <c r="S39" s="2274" t="s">
        <v>91</v>
      </c>
      <c r="T39" s="2210" t="s">
        <v>458</v>
      </c>
      <c r="U39" s="302"/>
      <c r="V39" s="2275" t="s">
        <v>459</v>
      </c>
      <c r="W39" s="2276"/>
      <c r="X39" s="2276"/>
      <c r="Y39" s="2276"/>
      <c r="Z39" s="2276"/>
      <c r="AA39" s="2276"/>
      <c r="AB39" s="2277"/>
      <c r="AC39" s="2278" t="s">
        <v>460</v>
      </c>
      <c r="AD39" s="2275" t="s">
        <v>459</v>
      </c>
      <c r="AE39" s="2276"/>
      <c r="AF39" s="2276"/>
      <c r="AG39" s="2276"/>
      <c r="AH39" s="2276"/>
      <c r="AI39" s="2276"/>
      <c r="AJ39" s="2277"/>
      <c r="AK39" s="2278" t="s">
        <v>461</v>
      </c>
      <c r="AL39" s="2281" t="s">
        <v>462</v>
      </c>
      <c r="AM39" s="2128"/>
      <c r="AS39" s="1156">
        <v>14</v>
      </c>
    </row>
    <row customHeight="1" ht="35.699999999999996">
      <c r="Q40" s="377"/>
      <c r="R40" s="377"/>
      <c r="S40" s="2274"/>
      <c r="T40" s="2210"/>
      <c r="U40" s="1032"/>
      <c r="V40" s="2261" t="s">
        <v>463</v>
      </c>
      <c r="W40" s="2611" t="s">
        <v>464</v>
      </c>
      <c r="X40" s="2263" t="s">
        <v>465</v>
      </c>
      <c r="Y40" s="2264"/>
      <c r="Z40" s="2263" t="s">
        <v>466</v>
      </c>
      <c r="AA40" s="2270"/>
      <c r="AB40" s="2264"/>
      <c r="AC40" s="2279"/>
      <c r="AD40" s="2261" t="s">
        <v>463</v>
      </c>
      <c r="AE40" s="2284" t="s">
        <v>464</v>
      </c>
      <c r="AF40" s="2263" t="s">
        <v>465</v>
      </c>
      <c r="AG40" s="2264"/>
      <c r="AH40" s="2263" t="s">
        <v>466</v>
      </c>
      <c r="AI40" s="2270"/>
      <c r="AJ40" s="2264"/>
      <c r="AK40" s="2279"/>
      <c r="AL40" s="2282"/>
      <c r="AM40" s="2128"/>
      <c r="AS40" s="1156">
        <v>34</v>
      </c>
    </row>
    <row customHeight="1" ht="35.699999999999996">
      <c r="A41" s="1371"/>
      <c r="B41" s="1371" t="s">
        <v>149</v>
      </c>
      <c r="C41" s="1371" t="s">
        <v>150</v>
      </c>
      <c r="D41" s="1371" t="s">
        <v>151</v>
      </c>
      <c r="E41" s="1365" t="s">
        <v>467</v>
      </c>
      <c r="F41" s="1365" t="s">
        <v>468</v>
      </c>
      <c r="G41" s="1365" t="s">
        <v>469</v>
      </c>
      <c r="H41" s="1365" t="s">
        <v>470</v>
      </c>
      <c r="I41" s="1365" t="s">
        <v>471</v>
      </c>
      <c r="J41" s="1365" t="s">
        <v>472</v>
      </c>
      <c r="K41" s="1365" t="s">
        <v>473</v>
      </c>
      <c r="L41" s="1365" t="s">
        <v>448</v>
      </c>
      <c r="Q41" s="377"/>
      <c r="R41" s="377"/>
      <c r="S41" s="2274"/>
      <c r="T41" s="2210"/>
      <c r="U41" s="303"/>
      <c r="V41" s="2262"/>
      <c r="W41" s="2285"/>
      <c r="X41" s="1223" t="s">
        <v>474</v>
      </c>
      <c r="Y41" s="1223" t="s">
        <v>475</v>
      </c>
      <c r="Z41" s="1222" t="s">
        <v>476</v>
      </c>
      <c r="AA41" s="2271" t="s">
        <v>477</v>
      </c>
      <c r="AB41" s="2272"/>
      <c r="AC41" s="2280"/>
      <c r="AD41" s="2262"/>
      <c r="AE41" s="2285"/>
      <c r="AF41" s="1223" t="s">
        <v>474</v>
      </c>
      <c r="AG41" s="1223" t="s">
        <v>475</v>
      </c>
      <c r="AH41" s="1314" t="s">
        <v>476</v>
      </c>
      <c r="AI41" s="2271" t="s">
        <v>477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124</v>
      </c>
      <c r="T42" s="1256" t="s">
        <v>107</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170</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137</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23</v>
      </c>
    </row>
    <row customHeight="1" ht="24">
      <c r="A44" s="1364" t="s">
        <v>170</v>
      </c>
      <c r="B44" s="1364" t="s">
        <v>171</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430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431</v>
      </c>
      <c r="AO44" s="501"/>
      <c r="AP44" s="501" t="str">
        <f>IF(T44="","",T44)</f>
        <v>Территория действия тарифа</v>
      </c>
      <c r="AQ44" s="501"/>
      <c r="AR44" s="501"/>
      <c r="AS44" s="1156">
        <v>23</v>
      </c>
    </row>
    <row customHeight="1" ht="24">
      <c r="A45" s="1364" t="s">
        <v>170</v>
      </c>
      <c r="B45" s="1364" t="s">
        <v>171</v>
      </c>
      <c r="C45" s="1364" t="s">
        <v>172</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432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433</v>
      </c>
      <c r="AO45" s="501"/>
      <c r="AP45" s="501" t="str">
        <f>IF(T45="","",T45)</f>
        <v>Наименование системы теплоснабжения </v>
      </c>
      <c r="AQ45" s="501"/>
      <c r="AR45" s="501"/>
      <c r="AS45" s="1156">
        <v>23</v>
      </c>
    </row>
    <row customHeight="1" ht="24">
      <c r="A46" s="1364" t="s">
        <v>170</v>
      </c>
      <c r="B46" s="1364" t="s">
        <v>171</v>
      </c>
      <c r="C46" s="1364" t="s">
        <v>172</v>
      </c>
      <c r="D46" s="1364" t="s">
        <v>173</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434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435</v>
      </c>
      <c r="AO46" s="501"/>
      <c r="AP46" s="501" t="str">
        <f>IF(T46="","",T46)</f>
        <v>Источник тепловой энергии  </v>
      </c>
      <c r="AQ46" s="501"/>
      <c r="AR46" s="501"/>
      <c r="AS46" s="1156">
        <v>23</v>
      </c>
    </row>
    <row customHeight="1" ht="49.5">
      <c r="A47" s="1364" t="s">
        <v>170</v>
      </c>
      <c r="B47" s="1364" t="s">
        <v>171</v>
      </c>
      <c r="C47" s="1364" t="s">
        <v>172</v>
      </c>
      <c r="D47" s="1364" t="s">
        <v>173</v>
      </c>
      <c r="E47" s="2260"/>
      <c r="F47" s="2260"/>
      <c r="G47" s="2260"/>
      <c r="H47" s="2260"/>
      <c r="I47" s="2257" t="str">
        <f>S46&amp;".1"</f>
        <v>....1</v>
      </c>
      <c r="J47" s="1364"/>
      <c r="K47" s="1364"/>
      <c r="L47" s="1365" t="s">
        <v>436</v>
      </c>
      <c r="P47" s="2258">
        <v>1</v>
      </c>
      <c r="Q47" s="1221"/>
      <c r="R47" s="357"/>
      <c r="S47" s="1225" t="str">
        <f>$I47</f>
        <v>....1</v>
      </c>
      <c r="T47" s="286" t="s">
        <v>437</v>
      </c>
      <c r="U47" s="301"/>
      <c r="V47" s="2246"/>
      <c r="W47" s="2247"/>
      <c r="X47" s="2247"/>
      <c r="Y47" s="2247"/>
      <c r="Z47" s="2247"/>
      <c r="AA47" s="2247"/>
      <c r="AB47" s="2247"/>
      <c r="AC47" s="2248"/>
      <c r="AD47" s="2246"/>
      <c r="AE47" s="2247"/>
      <c r="AF47" s="2247"/>
      <c r="AG47" s="2247"/>
      <c r="AH47" s="2247"/>
      <c r="AI47" s="2247"/>
      <c r="AJ47" s="2247"/>
      <c r="AK47" s="2247"/>
      <c r="AL47" s="2248"/>
      <c r="AM47" s="1259" t="s">
        <v>438</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170</v>
      </c>
      <c r="B48" s="1364" t="s">
        <v>171</v>
      </c>
      <c r="C48" s="1364" t="s">
        <v>172</v>
      </c>
      <c r="D48" s="1364" t="s">
        <v>173</v>
      </c>
      <c r="E48" s="2260"/>
      <c r="F48" s="2260"/>
      <c r="G48" s="2260"/>
      <c r="H48" s="2260"/>
      <c r="I48" s="2287"/>
      <c r="J48" s="2257" t="str">
        <f>I47&amp;".1"</f>
        <v>....1.1</v>
      </c>
      <c r="K48" s="1364"/>
      <c r="L48" s="1365" t="s">
        <v>439</v>
      </c>
      <c r="P48" s="2258"/>
      <c r="Q48" s="2258">
        <v>1</v>
      </c>
      <c r="R48" s="358"/>
      <c r="S48" s="1225" t="str">
        <f>$J48</f>
        <v>....1.1</v>
      </c>
      <c r="T48" s="287" t="s">
        <v>440</v>
      </c>
      <c r="U48" s="301"/>
      <c r="V48" s="2246"/>
      <c r="W48" s="2247"/>
      <c r="X48" s="2247"/>
      <c r="Y48" s="2247"/>
      <c r="Z48" s="2247"/>
      <c r="AA48" s="2247"/>
      <c r="AB48" s="2247"/>
      <c r="AC48" s="2248"/>
      <c r="AD48" s="2246"/>
      <c r="AE48" s="2247"/>
      <c r="AF48" s="2247"/>
      <c r="AG48" s="2247"/>
      <c r="AH48" s="2247"/>
      <c r="AI48" s="2247"/>
      <c r="AJ48" s="2247"/>
      <c r="AK48" s="2247"/>
      <c r="AL48" s="2248"/>
      <c r="AM48" s="1259" t="s">
        <v>441</v>
      </c>
      <c r="AO48" s="501"/>
      <c r="AP48" s="501" t="str">
        <f>IF(T48="","",T48)</f>
        <v>Группа потребителей</v>
      </c>
      <c r="AQ48" s="501"/>
      <c r="AR48" s="501"/>
      <c r="AS48" s="1156">
        <v>23</v>
      </c>
    </row>
    <row customHeight="1" ht="24">
      <c r="A49" s="1364" t="s">
        <v>170</v>
      </c>
      <c r="B49" s="1364" t="s">
        <v>171</v>
      </c>
      <c r="C49" s="1364" t="s">
        <v>172</v>
      </c>
      <c r="D49" s="1364" t="s">
        <v>173</v>
      </c>
      <c r="E49" s="2260"/>
      <c r="F49" s="2260"/>
      <c r="G49" s="2260"/>
      <c r="H49" s="2260"/>
      <c r="I49" s="2287"/>
      <c r="J49" s="2287"/>
      <c r="K49" s="2257" t="str">
        <f>J48&amp;".1"</f>
        <v>....1.1.1</v>
      </c>
      <c r="L49" s="1365" t="s">
        <v>442</v>
      </c>
      <c r="P49" s="2258"/>
      <c r="Q49" s="2258"/>
      <c r="R49" s="358">
        <v>1</v>
      </c>
      <c r="S49" s="1225" t="str">
        <f>$K49</f>
        <v>....1.1.1</v>
      </c>
      <c r="T49" s="1348"/>
      <c r="U49" s="301"/>
      <c r="V49" s="752"/>
      <c r="W49" s="326"/>
      <c r="X49" s="752"/>
      <c r="Y49" s="1258"/>
      <c r="Z49" s="2266"/>
      <c r="AA49" s="2108" t="s">
        <v>64</v>
      </c>
      <c r="AB49" s="2266"/>
      <c r="AC49" s="2108" t="s">
        <v>64</v>
      </c>
      <c r="AD49" s="752"/>
      <c r="AE49" s="326"/>
      <c r="AF49" s="752"/>
      <c r="AG49" s="1258"/>
      <c r="AH49" s="2266"/>
      <c r="AI49" s="2108" t="s">
        <v>64</v>
      </c>
      <c r="AJ49" s="2288"/>
      <c r="AK49" s="2108" t="s">
        <v>64</v>
      </c>
      <c r="AL49" s="1349"/>
      <c r="AM49" s="2254" t="s">
        <v>443</v>
      </c>
      <c r="AN49" s="512">
        <f>STRCHECKDATE(V50:AL50)</f>
      </c>
      <c r="AO49" s="501"/>
      <c r="AP49" s="501" t="str">
        <f>IF(T49="","",T49)</f>
        <v/>
      </c>
      <c r="AQ49" s="501"/>
      <c r="AR49" s="501"/>
      <c r="AS49" s="1156">
        <v>23</v>
      </c>
    </row>
    <row customHeight="1" ht="1.05">
      <c r="A50" s="1364" t="s">
        <v>170</v>
      </c>
      <c r="B50" s="1364" t="s">
        <v>171</v>
      </c>
      <c r="C50" s="1364" t="s">
        <v>172</v>
      </c>
      <c r="D50" s="1364" t="s">
        <v>173</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170</v>
      </c>
      <c r="B51" s="1364" t="s">
        <v>171</v>
      </c>
      <c r="C51" s="1364" t="s">
        <v>172</v>
      </c>
      <c r="D51" s="1364" t="s">
        <v>173</v>
      </c>
      <c r="E51" s="2260"/>
      <c r="F51" s="2260"/>
      <c r="G51" s="2260"/>
      <c r="H51" s="2260"/>
      <c r="I51" s="2287"/>
      <c r="J51" s="2257"/>
      <c r="K51" s="1364"/>
      <c r="L51" s="1365"/>
      <c r="P51" s="2258"/>
      <c r="Q51" s="2258"/>
      <c r="R51" s="357"/>
      <c r="S51" s="1279"/>
      <c r="T51" s="289" t="s">
        <v>444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170</v>
      </c>
      <c r="B52" s="1364" t="s">
        <v>171</v>
      </c>
      <c r="C52" s="1364" t="s">
        <v>172</v>
      </c>
      <c r="D52" s="1364" t="s">
        <v>173</v>
      </c>
      <c r="E52" s="2260"/>
      <c r="F52" s="2260"/>
      <c r="G52" s="2260"/>
      <c r="H52" s="2260"/>
      <c r="I52" s="2257"/>
      <c r="J52" s="1364"/>
      <c r="K52" s="1364"/>
      <c r="L52" s="1365"/>
      <c r="P52" s="2258"/>
      <c r="Q52" s="1221"/>
      <c r="R52" s="357"/>
      <c r="S52" s="1279"/>
      <c r="T52" s="288" t="s">
        <v>445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170</v>
      </c>
      <c r="B53" s="1364" t="s">
        <v>171</v>
      </c>
      <c r="C53" s="1364" t="s">
        <v>172</v>
      </c>
      <c r="D53" s="1364" t="s">
        <v>173</v>
      </c>
      <c r="E53" s="2260"/>
      <c r="F53" s="2260"/>
      <c r="G53" s="2260"/>
      <c r="H53" s="2259"/>
      <c r="I53" s="1364"/>
      <c r="J53" s="1364"/>
      <c r="K53" s="1364"/>
      <c r="L53" s="1365"/>
      <c r="M53" s="1366"/>
      <c r="N53" s="1366"/>
      <c r="O53" s="538"/>
      <c r="P53" s="361"/>
      <c r="Q53" s="376"/>
      <c r="R53" s="356"/>
      <c r="S53" s="1279"/>
      <c r="T53" s="366" t="s">
        <v>446</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170</v>
      </c>
      <c r="B54" s="1344" t="s">
        <v>171</v>
      </c>
      <c r="C54" s="1344" t="s">
        <v>172</v>
      </c>
      <c r="D54" s="1315"/>
      <c r="E54" s="2260"/>
      <c r="F54" s="2260"/>
      <c r="G54" s="2259"/>
      <c r="H54" s="1315"/>
      <c r="I54" s="1315"/>
      <c r="J54" s="1315"/>
      <c r="K54" s="1315"/>
      <c r="L54" s="1340"/>
      <c r="M54" s="1316"/>
      <c r="N54" s="1316"/>
      <c r="P54" s="1317"/>
      <c r="Q54" s="1318"/>
      <c r="R54" s="1317"/>
      <c r="S54" s="1323"/>
      <c r="T54" s="1326" t="s">
        <v>218</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170</v>
      </c>
      <c r="B55" s="1344" t="s">
        <v>171</v>
      </c>
      <c r="C55" s="1315"/>
      <c r="D55" s="1315"/>
      <c r="E55" s="2260"/>
      <c r="F55" s="2259"/>
      <c r="G55" s="1315"/>
      <c r="H55" s="1315"/>
      <c r="I55" s="1315"/>
      <c r="J55" s="1315"/>
      <c r="K55" s="1315"/>
      <c r="L55" s="1340"/>
      <c r="M55" s="1322"/>
      <c r="N55" s="1322"/>
      <c r="P55" s="1317"/>
      <c r="Q55" s="1318"/>
      <c r="R55" s="1317"/>
      <c r="S55" s="1323"/>
      <c r="T55" s="1326" t="s">
        <v>219</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170</v>
      </c>
      <c r="B56" s="1344"/>
      <c r="C56" s="1344"/>
      <c r="D56" s="1344"/>
      <c r="E56" s="2259"/>
      <c r="F56" s="1344"/>
      <c r="G56" s="1344"/>
      <c r="H56" s="1344"/>
      <c r="I56" s="1344"/>
      <c r="J56" s="1344"/>
      <c r="K56" s="1344"/>
      <c r="L56" s="1347"/>
      <c r="M56" s="1322"/>
      <c r="N56" s="1322"/>
      <c r="O56" s="519"/>
      <c r="P56" s="381"/>
      <c r="Q56" s="1345"/>
      <c r="R56" s="381"/>
      <c r="S56" s="1323"/>
      <c r="T56" s="1326" t="s">
        <v>227</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236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85</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0FC4D8-343B-EA28-B46F-E885DC07483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137</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429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430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431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432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433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434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435</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436</v>
      </c>
      <c r="M6" s="538"/>
      <c r="P6" s="2258">
        <v>1</v>
      </c>
      <c r="Q6" s="1332"/>
      <c r="R6" s="357"/>
      <c r="S6" s="1337">
        <f>$I6</f>
      </c>
      <c r="T6" s="286" t="s">
        <v>437</v>
      </c>
      <c r="U6" s="301"/>
      <c r="V6" s="2246"/>
      <c r="W6" s="2247"/>
      <c r="X6" s="2247"/>
      <c r="Y6" s="2247"/>
      <c r="Z6" s="2247"/>
      <c r="AA6" s="2247"/>
      <c r="AB6" s="2247"/>
      <c r="AC6" s="2248"/>
      <c r="AD6" s="2246"/>
      <c r="AE6" s="2247"/>
      <c r="AF6" s="2247"/>
      <c r="AG6" s="2247"/>
      <c r="AH6" s="2247"/>
      <c r="AI6" s="2247"/>
      <c r="AJ6" s="2247"/>
      <c r="AK6" s="2247"/>
      <c r="AL6" s="2248"/>
      <c r="AM6" s="1259" t="s">
        <v>438</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439</v>
      </c>
      <c r="M7" s="538"/>
      <c r="N7" s="1367"/>
      <c r="P7" s="2258"/>
      <c r="Q7" s="2258">
        <v>1</v>
      </c>
      <c r="R7" s="358"/>
      <c r="S7" s="1337">
        <f>$J7</f>
      </c>
      <c r="T7" s="287" t="s">
        <v>440</v>
      </c>
      <c r="U7" s="301"/>
      <c r="V7" s="2246"/>
      <c r="W7" s="2247"/>
      <c r="X7" s="2247"/>
      <c r="Y7" s="2247"/>
      <c r="Z7" s="2247"/>
      <c r="AA7" s="2247"/>
      <c r="AB7" s="2247"/>
      <c r="AC7" s="2248"/>
      <c r="AD7" s="2246"/>
      <c r="AE7" s="2247"/>
      <c r="AF7" s="2247"/>
      <c r="AG7" s="2247"/>
      <c r="AH7" s="2247"/>
      <c r="AI7" s="2247"/>
      <c r="AJ7" s="2247"/>
      <c r="AK7" s="2247"/>
      <c r="AL7" s="2248"/>
      <c r="AM7" s="1259" t="s">
        <v>441</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442</v>
      </c>
      <c r="M8" s="538"/>
      <c r="N8" s="1367"/>
      <c r="O8" s="1367"/>
      <c r="P8" s="2258"/>
      <c r="Q8" s="2258"/>
      <c r="R8" s="358">
        <v>1</v>
      </c>
      <c r="S8" s="1337">
        <f>$K8</f>
      </c>
      <c r="T8" s="1348"/>
      <c r="U8" s="301"/>
      <c r="V8" s="752"/>
      <c r="W8" s="326"/>
      <c r="X8" s="752"/>
      <c r="Y8" s="1258"/>
      <c r="Z8" s="2266"/>
      <c r="AA8" s="2108" t="s">
        <v>64</v>
      </c>
      <c r="AB8" s="2266"/>
      <c r="AC8" s="2108" t="s">
        <v>64</v>
      </c>
      <c r="AD8" s="752"/>
      <c r="AE8" s="326"/>
      <c r="AF8" s="752"/>
      <c r="AG8" s="1258"/>
      <c r="AH8" s="2266"/>
      <c r="AI8" s="2108" t="s">
        <v>64</v>
      </c>
      <c r="AJ8" s="2266"/>
      <c r="AK8" s="2108" t="s">
        <v>64</v>
      </c>
      <c r="AL8" s="326"/>
      <c r="AM8" s="2254" t="s">
        <v>443</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444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445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446</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218</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219</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227</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64</v>
      </c>
      <c r="AJ17" s="2268"/>
      <c r="AK17" s="2269" t="s">
        <v>64</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447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448</v>
      </c>
      <c r="P22" s="1363"/>
      <c r="Q22" s="1372"/>
      <c r="R22" s="1372"/>
      <c r="S22" s="730"/>
      <c r="T22" s="1161" t="s">
        <v>449</v>
      </c>
      <c r="AA22" s="187" t="s">
        <v>450</v>
      </c>
      <c r="AC22" s="187" t="s">
        <v>451</v>
      </c>
      <c r="AD22" s="1161" t="s">
        <v>449</v>
      </c>
      <c r="AI22" s="187" t="s">
        <v>452</v>
      </c>
      <c r="AK22" s="187" t="s">
        <v>451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КГУП "Примтеплоэнерго"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Агентство по тарифам Приморского края</v>
      </c>
      <c r="W29" s="2252"/>
      <c r="X29" s="2252"/>
      <c r="Y29" s="2252"/>
      <c r="Z29" s="2252"/>
      <c r="AA29" s="2252"/>
      <c r="AB29" s="2252"/>
      <c r="AC29" s="327"/>
      <c r="AD29" s="2252" t="str">
        <f>IF(TITLE_NAME_OR_PR_CHANGE="",IF(TITLE_NAME_OR_PR="","",TITLE_NAME_OR_PR),TITLE_NAME_OR_PR_CHANGE)</f>
        <v>Агентство по тарифам Приморского края</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453</v>
      </c>
      <c r="T30" s="2251"/>
      <c r="U30" s="1373"/>
      <c r="V30" s="2265" t="str">
        <f>IF(TITLE_DATE_PR_CHANGE="",IF(TITLE_DATE_PR="","",TITLE_DATE_PR),TITLE_DATE_PR_CHANGE)</f>
        <v>45777.43633101852</v>
      </c>
      <c r="W30" s="2265"/>
      <c r="X30" s="2265"/>
      <c r="Y30" s="2265"/>
      <c r="Z30" s="2265"/>
      <c r="AA30" s="2265"/>
      <c r="AB30" s="2265"/>
      <c r="AC30" s="327"/>
      <c r="AD30" s="2265" t="str">
        <f>IF(TITLE_DATE_PR_CHANGE="",IF(TITLE_DATE_PR="","",TITLE_DATE_PR),TITLE_DATE_PR_CHANGE)</f>
        <v>45777.43633101852</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454</v>
      </c>
      <c r="T31" s="2251"/>
      <c r="U31" s="1373"/>
      <c r="V31" s="2252" t="str">
        <f>IF(TITLE_NUMBER_PR_CHANGE="",IF(TITLE_NUMBER_PR="","",TITLE_NUMBER_PR),TITLE_NUMBER_PR_CHANGE)</f>
        <v>17-1</v>
      </c>
      <c r="W31" s="2252"/>
      <c r="X31" s="2252"/>
      <c r="Y31" s="2252"/>
      <c r="Z31" s="2252"/>
      <c r="AA31" s="2252"/>
      <c r="AB31" s="2252"/>
      <c r="AC31" s="327"/>
      <c r="AD31" s="2252" t="str">
        <f>IF(TITLE_NUMBER_PR_CHANGE="",IF(TITLE_NUMBER_PR="","",TITLE_NUMBER_PR),TITLE_NUMBER_PR_CHANGE)</f>
        <v>17-1</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http://pravo.gov.ru</v>
      </c>
      <c r="W32" s="2252"/>
      <c r="X32" s="2252"/>
      <c r="Y32" s="2252"/>
      <c r="Z32" s="2252"/>
      <c r="AA32" s="2252"/>
      <c r="AB32" s="2252"/>
      <c r="AC32" s="327"/>
      <c r="AD32" s="2252" t="str">
        <f>IF(TITLE_IST_PUB_CHANGE="",IF(TITLE_IST_PUB="","",TITLE_IST_PUB),TITLE_IST_PUB_CHANGE)</f>
        <v>http://pravo.gov.ru</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455</v>
      </c>
      <c r="T34" s="2251"/>
      <c r="U34" s="1373"/>
      <c r="V34" s="2265" t="str">
        <f>IF(TITLE_DATE_PR_CHANGE="",IF(TITLE_DATE_PR="","",TITLE_DATE_PR),TITLE_DATE_PR_CHANGE)</f>
        <v>45777.43633101852</v>
      </c>
      <c r="W34" s="2265"/>
      <c r="X34" s="2265"/>
      <c r="Y34" s="2265"/>
      <c r="Z34" s="2265"/>
      <c r="AA34" s="2265"/>
      <c r="AB34" s="2265"/>
      <c r="AC34" s="327"/>
      <c r="AD34" s="2265" t="str">
        <f>IF(TITLE_DATE_PR_CHANGE="",IF(TITLE_DATE_PR="","",TITLE_DATE_PR),TITLE_DATE_PR_CHANGE)</f>
        <v>45777.43633101852</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456</v>
      </c>
      <c r="T35" s="2251"/>
      <c r="U35" s="1373"/>
      <c r="V35" s="2252" t="str">
        <f>IF(TITLE_NUMBER_PR_CHANGE="",IF(TITLE_NUMBER_PR="","",TITLE_NUMBER_PR),TITLE_NUMBER_PR_CHANGE)</f>
        <v>17-1</v>
      </c>
      <c r="W35" s="2252"/>
      <c r="X35" s="2252"/>
      <c r="Y35" s="2252"/>
      <c r="Z35" s="2252"/>
      <c r="AA35" s="2252"/>
      <c r="AB35" s="2252"/>
      <c r="AC35" s="327"/>
      <c r="AD35" s="2252" t="str">
        <f>IF(TITLE_NUMBER_PR_CHANGE="",IF(TITLE_NUMBER_PR="","",TITLE_NUMBER_PR),TITLE_NUMBER_PR_CHANGE)</f>
        <v>17-1</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457</v>
      </c>
      <c r="AD36" s="327"/>
      <c r="AE36" s="327"/>
      <c r="AF36" s="327"/>
      <c r="AG36" s="327"/>
      <c r="AH36" s="327"/>
      <c r="AI36" s="327"/>
      <c r="AJ36" s="327"/>
      <c r="AK36" s="279" t="s">
        <v>457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333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334</v>
      </c>
      <c r="AS38" s="1156">
        <v>14</v>
      </c>
    </row>
    <row customHeight="1" ht="14.699999999999998">
      <c r="Q39" s="377"/>
      <c r="R39" s="377"/>
      <c r="S39" s="2274" t="s">
        <v>91</v>
      </c>
      <c r="T39" s="2210" t="s">
        <v>458</v>
      </c>
      <c r="U39" s="302"/>
      <c r="V39" s="2275" t="s">
        <v>459</v>
      </c>
      <c r="W39" s="2276"/>
      <c r="X39" s="2276"/>
      <c r="Y39" s="2276"/>
      <c r="Z39" s="2276"/>
      <c r="AA39" s="2276"/>
      <c r="AB39" s="2277"/>
      <c r="AC39" s="2278" t="s">
        <v>460</v>
      </c>
      <c r="AD39" s="2275" t="s">
        <v>459</v>
      </c>
      <c r="AE39" s="2276"/>
      <c r="AF39" s="2276"/>
      <c r="AG39" s="2276"/>
      <c r="AH39" s="2276"/>
      <c r="AI39" s="2276"/>
      <c r="AJ39" s="2277"/>
      <c r="AK39" s="2278" t="s">
        <v>461</v>
      </c>
      <c r="AL39" s="2281" t="s">
        <v>462</v>
      </c>
      <c r="AM39" s="2128"/>
      <c r="AS39" s="1156">
        <v>14</v>
      </c>
    </row>
    <row customHeight="1" ht="35.699999999999996">
      <c r="Q40" s="377"/>
      <c r="R40" s="377"/>
      <c r="S40" s="2274"/>
      <c r="T40" s="2210"/>
      <c r="U40" s="1032"/>
      <c r="V40" s="2261" t="s">
        <v>463</v>
      </c>
      <c r="W40" s="2284" t="s">
        <v>464</v>
      </c>
      <c r="X40" s="2263" t="s">
        <v>465</v>
      </c>
      <c r="Y40" s="2264"/>
      <c r="Z40" s="2263" t="s">
        <v>478</v>
      </c>
      <c r="AA40" s="2270"/>
      <c r="AB40" s="2264"/>
      <c r="AC40" s="2279"/>
      <c r="AD40" s="2261" t="s">
        <v>463</v>
      </c>
      <c r="AE40" s="2284" t="s">
        <v>464</v>
      </c>
      <c r="AF40" s="2263" t="s">
        <v>465</v>
      </c>
      <c r="AG40" s="2264"/>
      <c r="AH40" s="2263" t="s">
        <v>466</v>
      </c>
      <c r="AI40" s="2270"/>
      <c r="AJ40" s="2264"/>
      <c r="AK40" s="2279"/>
      <c r="AL40" s="2282"/>
      <c r="AM40" s="2128"/>
      <c r="AS40" s="1156">
        <v>34</v>
      </c>
    </row>
    <row customHeight="1" ht="35.699999999999996">
      <c r="A41" s="1371"/>
      <c r="B41" s="1371" t="s">
        <v>149</v>
      </c>
      <c r="C41" s="1371" t="s">
        <v>150</v>
      </c>
      <c r="D41" s="1371" t="s">
        <v>151</v>
      </c>
      <c r="E41" s="1365" t="s">
        <v>467</v>
      </c>
      <c r="F41" s="1365" t="s">
        <v>468</v>
      </c>
      <c r="G41" s="1365" t="s">
        <v>469</v>
      </c>
      <c r="H41" s="1365" t="s">
        <v>470</v>
      </c>
      <c r="I41" s="1365" t="s">
        <v>471</v>
      </c>
      <c r="J41" s="1365" t="s">
        <v>472</v>
      </c>
      <c r="K41" s="1365" t="s">
        <v>473</v>
      </c>
      <c r="L41" s="1365" t="s">
        <v>448</v>
      </c>
      <c r="Q41" s="377"/>
      <c r="R41" s="377"/>
      <c r="S41" s="2274"/>
      <c r="T41" s="2210"/>
      <c r="U41" s="303"/>
      <c r="V41" s="2262"/>
      <c r="W41" s="2285"/>
      <c r="X41" s="1223" t="s">
        <v>474</v>
      </c>
      <c r="Y41" s="1223" t="s">
        <v>475</v>
      </c>
      <c r="Z41" s="1339" t="s">
        <v>476</v>
      </c>
      <c r="AA41" s="2271" t="s">
        <v>477</v>
      </c>
      <c r="AB41" s="2272"/>
      <c r="AC41" s="2280"/>
      <c r="AD41" s="2262"/>
      <c r="AE41" s="2285"/>
      <c r="AF41" s="1223" t="s">
        <v>474</v>
      </c>
      <c r="AG41" s="1223" t="s">
        <v>475</v>
      </c>
      <c r="AH41" s="1339" t="s">
        <v>476</v>
      </c>
      <c r="AI41" s="2271" t="s">
        <v>477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124</v>
      </c>
      <c r="T42" s="1256" t="s">
        <v>107</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176</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137</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176</v>
      </c>
      <c r="B44" s="1364" t="s">
        <v>177</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430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431</v>
      </c>
      <c r="AO44" s="501"/>
      <c r="AP44" s="501" t="str">
        <f>IF(T44="","",T44)</f>
        <v>Территория действия тарифа</v>
      </c>
      <c r="AQ44" s="501"/>
      <c r="AR44" s="501"/>
      <c r="AS44" s="1156">
        <v>21</v>
      </c>
    </row>
    <row customHeight="1" ht="24">
      <c r="A45" s="1364" t="s">
        <v>176</v>
      </c>
      <c r="B45" s="1364" t="s">
        <v>177</v>
      </c>
      <c r="C45" s="1364" t="s">
        <v>178</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432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433</v>
      </c>
      <c r="AO45" s="501"/>
      <c r="AP45" s="501" t="str">
        <f>IF(T45="","",T45)</f>
        <v>Наименование системы теплоснабжения </v>
      </c>
      <c r="AQ45" s="501"/>
      <c r="AR45" s="501"/>
      <c r="AS45" s="1156">
        <v>23</v>
      </c>
    </row>
    <row customHeight="1" ht="22.049999999999997">
      <c r="A46" s="1364" t="s">
        <v>176</v>
      </c>
      <c r="B46" s="1364" t="s">
        <v>177</v>
      </c>
      <c r="C46" s="1364" t="s">
        <v>178</v>
      </c>
      <c r="D46" s="1364" t="s">
        <v>179</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434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435</v>
      </c>
      <c r="AO46" s="501"/>
      <c r="AP46" s="501" t="str">
        <f>IF(T46="","",T46)</f>
        <v>Источник тепловой энергии  </v>
      </c>
      <c r="AQ46" s="501"/>
      <c r="AR46" s="501"/>
      <c r="AS46" s="1156">
        <v>21</v>
      </c>
    </row>
    <row customHeight="1" ht="49.5">
      <c r="A47" s="1364" t="s">
        <v>176</v>
      </c>
      <c r="B47" s="1364" t="s">
        <v>177</v>
      </c>
      <c r="C47" s="1364" t="s">
        <v>178</v>
      </c>
      <c r="D47" s="1364" t="s">
        <v>179</v>
      </c>
      <c r="E47" s="2260"/>
      <c r="F47" s="2260"/>
      <c r="G47" s="2260"/>
      <c r="H47" s="2260"/>
      <c r="I47" s="2257" t="str">
        <f>S46&amp;".1"</f>
        <v>....1</v>
      </c>
      <c r="J47" s="1364"/>
      <c r="K47" s="1364"/>
      <c r="L47" s="1365" t="s">
        <v>436</v>
      </c>
      <c r="P47" s="2258">
        <v>1</v>
      </c>
      <c r="Q47" s="1332"/>
      <c r="R47" s="357"/>
      <c r="S47" s="1337" t="str">
        <f>$I47</f>
        <v>....1</v>
      </c>
      <c r="T47" s="286" t="s">
        <v>437</v>
      </c>
      <c r="U47" s="301"/>
      <c r="V47" s="2246"/>
      <c r="W47" s="2247"/>
      <c r="X47" s="2247"/>
      <c r="Y47" s="2247"/>
      <c r="Z47" s="2247"/>
      <c r="AA47" s="2247"/>
      <c r="AB47" s="2247"/>
      <c r="AC47" s="2248"/>
      <c r="AD47" s="2246"/>
      <c r="AE47" s="2247"/>
      <c r="AF47" s="2247"/>
      <c r="AG47" s="2247"/>
      <c r="AH47" s="2247"/>
      <c r="AI47" s="2247"/>
      <c r="AJ47" s="2247"/>
      <c r="AK47" s="2247"/>
      <c r="AL47" s="2248"/>
      <c r="AM47" s="1259" t="s">
        <v>438</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176</v>
      </c>
      <c r="B48" s="1364" t="s">
        <v>177</v>
      </c>
      <c r="C48" s="1364" t="s">
        <v>178</v>
      </c>
      <c r="D48" s="1364" t="s">
        <v>179</v>
      </c>
      <c r="E48" s="2260"/>
      <c r="F48" s="2260"/>
      <c r="G48" s="2260"/>
      <c r="H48" s="2260"/>
      <c r="I48" s="2287"/>
      <c r="J48" s="2257" t="str">
        <f>I47&amp;".1"</f>
        <v>....1.1</v>
      </c>
      <c r="K48" s="1364"/>
      <c r="L48" s="1365" t="s">
        <v>439</v>
      </c>
      <c r="P48" s="2258"/>
      <c r="Q48" s="2258">
        <v>1</v>
      </c>
      <c r="R48" s="358"/>
      <c r="S48" s="1337" t="str">
        <f>$J48</f>
        <v>....1.1</v>
      </c>
      <c r="T48" s="287" t="s">
        <v>440</v>
      </c>
      <c r="U48" s="301"/>
      <c r="V48" s="2246"/>
      <c r="W48" s="2247"/>
      <c r="X48" s="2247"/>
      <c r="Y48" s="2247"/>
      <c r="Z48" s="2247"/>
      <c r="AA48" s="2247"/>
      <c r="AB48" s="2247"/>
      <c r="AC48" s="2248"/>
      <c r="AD48" s="2246"/>
      <c r="AE48" s="2247"/>
      <c r="AF48" s="2247"/>
      <c r="AG48" s="2247"/>
      <c r="AH48" s="2247"/>
      <c r="AI48" s="2247"/>
      <c r="AJ48" s="2247"/>
      <c r="AK48" s="2247"/>
      <c r="AL48" s="2248"/>
      <c r="AM48" s="1259" t="s">
        <v>441</v>
      </c>
      <c r="AO48" s="501"/>
      <c r="AP48" s="501" t="str">
        <f>IF(T48="","",T48)</f>
        <v>Группа потребителей</v>
      </c>
      <c r="AQ48" s="501"/>
      <c r="AR48" s="501"/>
      <c r="AS48" s="1156">
        <v>21</v>
      </c>
    </row>
    <row customHeight="1" ht="22.049999999999997">
      <c r="A49" s="1364" t="s">
        <v>176</v>
      </c>
      <c r="B49" s="1364" t="s">
        <v>177</v>
      </c>
      <c r="C49" s="1364" t="s">
        <v>178</v>
      </c>
      <c r="D49" s="1364" t="s">
        <v>179</v>
      </c>
      <c r="E49" s="2260"/>
      <c r="F49" s="2260"/>
      <c r="G49" s="2260"/>
      <c r="H49" s="2260"/>
      <c r="I49" s="2287"/>
      <c r="J49" s="2287"/>
      <c r="K49" s="2257" t="str">
        <f>J48&amp;".1"</f>
        <v>....1.1.1</v>
      </c>
      <c r="L49" s="1365" t="s">
        <v>442</v>
      </c>
      <c r="P49" s="2258"/>
      <c r="Q49" s="2258"/>
      <c r="R49" s="358">
        <v>1</v>
      </c>
      <c r="S49" s="1337" t="str">
        <f>$K49</f>
        <v>....1.1.1</v>
      </c>
      <c r="T49" s="1348"/>
      <c r="U49" s="301"/>
      <c r="V49" s="752"/>
      <c r="W49" s="326"/>
      <c r="X49" s="752"/>
      <c r="Y49" s="1258"/>
      <c r="Z49" s="2266"/>
      <c r="AA49" s="2108" t="s">
        <v>64</v>
      </c>
      <c r="AB49" s="2266"/>
      <c r="AC49" s="2108" t="s">
        <v>64</v>
      </c>
      <c r="AD49" s="752"/>
      <c r="AE49" s="326"/>
      <c r="AF49" s="752"/>
      <c r="AG49" s="1258"/>
      <c r="AH49" s="2266"/>
      <c r="AI49" s="2108" t="s">
        <v>64</v>
      </c>
      <c r="AJ49" s="2288"/>
      <c r="AK49" s="2108" t="s">
        <v>64</v>
      </c>
      <c r="AL49" s="1349"/>
      <c r="AM49" s="2254" t="s">
        <v>443</v>
      </c>
      <c r="AN49" s="512">
        <f>STRCHECKDATE(V50:AL50)</f>
      </c>
      <c r="AO49" s="501"/>
      <c r="AP49" s="501" t="str">
        <f>IF(T49="","",T49)</f>
        <v/>
      </c>
      <c r="AQ49" s="501"/>
      <c r="AR49" s="501"/>
      <c r="AS49" s="1156">
        <v>21</v>
      </c>
    </row>
    <row customHeight="1" ht="1.05">
      <c r="A50" s="1364" t="s">
        <v>176</v>
      </c>
      <c r="B50" s="1364" t="s">
        <v>177</v>
      </c>
      <c r="C50" s="1364" t="s">
        <v>178</v>
      </c>
      <c r="D50" s="1364" t="s">
        <v>179</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176</v>
      </c>
      <c r="B51" s="1364" t="s">
        <v>177</v>
      </c>
      <c r="C51" s="1364" t="s">
        <v>178</v>
      </c>
      <c r="D51" s="1364" t="s">
        <v>179</v>
      </c>
      <c r="E51" s="2260"/>
      <c r="F51" s="2260"/>
      <c r="G51" s="2260"/>
      <c r="H51" s="2260"/>
      <c r="I51" s="2287"/>
      <c r="J51" s="2257"/>
      <c r="K51" s="1364"/>
      <c r="L51" s="1365"/>
      <c r="P51" s="2258"/>
      <c r="Q51" s="2258"/>
      <c r="R51" s="357"/>
      <c r="S51" s="1279"/>
      <c r="T51" s="289" t="s">
        <v>444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176</v>
      </c>
      <c r="B52" s="1364" t="s">
        <v>177</v>
      </c>
      <c r="C52" s="1364" t="s">
        <v>178</v>
      </c>
      <c r="D52" s="1364" t="s">
        <v>179</v>
      </c>
      <c r="E52" s="2260"/>
      <c r="F52" s="2260"/>
      <c r="G52" s="2260"/>
      <c r="H52" s="2260"/>
      <c r="I52" s="2257"/>
      <c r="J52" s="1364"/>
      <c r="K52" s="1364"/>
      <c r="L52" s="1365"/>
      <c r="P52" s="2258"/>
      <c r="Q52" s="1332"/>
      <c r="R52" s="357"/>
      <c r="S52" s="1279"/>
      <c r="T52" s="288" t="s">
        <v>445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176</v>
      </c>
      <c r="B53" s="1364" t="s">
        <v>177</v>
      </c>
      <c r="C53" s="1364" t="s">
        <v>178</v>
      </c>
      <c r="D53" s="1364" t="s">
        <v>179</v>
      </c>
      <c r="E53" s="2260"/>
      <c r="F53" s="2260"/>
      <c r="G53" s="2260"/>
      <c r="H53" s="2259"/>
      <c r="I53" s="1364"/>
      <c r="J53" s="1364"/>
      <c r="K53" s="1364"/>
      <c r="L53" s="1365"/>
      <c r="M53" s="1366"/>
      <c r="N53" s="1366"/>
      <c r="O53" s="538"/>
      <c r="P53" s="361"/>
      <c r="Q53" s="376"/>
      <c r="R53" s="356"/>
      <c r="S53" s="1279"/>
      <c r="T53" s="366" t="s">
        <v>446</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176</v>
      </c>
      <c r="B54" s="1344" t="s">
        <v>177</v>
      </c>
      <c r="C54" s="1344" t="s">
        <v>178</v>
      </c>
      <c r="D54" s="1315"/>
      <c r="E54" s="2260"/>
      <c r="F54" s="2260"/>
      <c r="G54" s="2259"/>
      <c r="H54" s="1315"/>
      <c r="I54" s="1315"/>
      <c r="J54" s="1315"/>
      <c r="K54" s="1315"/>
      <c r="L54" s="1340"/>
      <c r="M54" s="1316"/>
      <c r="N54" s="1316"/>
      <c r="P54" s="1317"/>
      <c r="Q54" s="1318"/>
      <c r="R54" s="1317"/>
      <c r="S54" s="1323"/>
      <c r="T54" s="1326" t="s">
        <v>218</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176</v>
      </c>
      <c r="B55" s="1344" t="s">
        <v>177</v>
      </c>
      <c r="C55" s="1315"/>
      <c r="D55" s="1315"/>
      <c r="E55" s="2260"/>
      <c r="F55" s="2259"/>
      <c r="G55" s="1315"/>
      <c r="H55" s="1315"/>
      <c r="I55" s="1315"/>
      <c r="J55" s="1315"/>
      <c r="K55" s="1315"/>
      <c r="L55" s="1340"/>
      <c r="M55" s="1322"/>
      <c r="N55" s="1322"/>
      <c r="P55" s="1317"/>
      <c r="Q55" s="1318"/>
      <c r="R55" s="1317"/>
      <c r="S55" s="1323"/>
      <c r="T55" s="1326" t="s">
        <v>219</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176</v>
      </c>
      <c r="B56" s="1344"/>
      <c r="C56" s="1344"/>
      <c r="D56" s="1344"/>
      <c r="E56" s="2259"/>
      <c r="F56" s="1344"/>
      <c r="G56" s="1344"/>
      <c r="H56" s="1344"/>
      <c r="I56" s="1344"/>
      <c r="J56" s="1344"/>
      <c r="K56" s="1344"/>
      <c r="L56" s="1347"/>
      <c r="M56" s="1322"/>
      <c r="N56" s="1322"/>
      <c r="O56" s="519"/>
      <c r="P56" s="381"/>
      <c r="Q56" s="1345"/>
      <c r="R56" s="381"/>
      <c r="S56" s="1323"/>
      <c r="T56" s="1326" t="s">
        <v>227</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236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85</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0676C8-B3F8-53B8-C0F8-23813877251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137</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429</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430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431</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432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433</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434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435</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436</v>
      </c>
      <c r="M6" s="1636"/>
      <c r="P6" s="2258">
        <v>1</v>
      </c>
      <c r="Q6" s="1955"/>
      <c r="R6" s="357"/>
      <c r="S6" s="1959">
        <f>$I6</f>
      </c>
      <c r="T6" s="286" t="s">
        <v>437</v>
      </c>
      <c r="U6" s="301"/>
      <c r="V6" s="2246"/>
      <c r="W6" s="2247"/>
      <c r="X6" s="2247"/>
      <c r="Y6" s="2247"/>
      <c r="Z6" s="2247"/>
      <c r="AA6" s="2247"/>
      <c r="AB6" s="2247"/>
      <c r="AC6" s="2248"/>
      <c r="AD6" s="2246"/>
      <c r="AE6" s="2247"/>
      <c r="AF6" s="2247"/>
      <c r="AG6" s="2247"/>
      <c r="AH6" s="2247"/>
      <c r="AI6" s="2247"/>
      <c r="AJ6" s="2247"/>
      <c r="AK6" s="2247"/>
      <c r="AL6" s="2248"/>
      <c r="AM6" s="1259" t="s">
        <v>438</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439</v>
      </c>
      <c r="M7" s="1636"/>
      <c r="N7" s="1632"/>
      <c r="P7" s="2258"/>
      <c r="Q7" s="2258">
        <v>1</v>
      </c>
      <c r="R7" s="358"/>
      <c r="S7" s="1959">
        <f>$J7</f>
      </c>
      <c r="T7" s="287" t="s">
        <v>440</v>
      </c>
      <c r="U7" s="301"/>
      <c r="V7" s="2246"/>
      <c r="W7" s="2247"/>
      <c r="X7" s="2247"/>
      <c r="Y7" s="2247"/>
      <c r="Z7" s="2247"/>
      <c r="AA7" s="2247"/>
      <c r="AB7" s="2247"/>
      <c r="AC7" s="2248"/>
      <c r="AD7" s="2246"/>
      <c r="AE7" s="2247"/>
      <c r="AF7" s="2247"/>
      <c r="AG7" s="2247"/>
      <c r="AH7" s="2247"/>
      <c r="AI7" s="2247"/>
      <c r="AJ7" s="2247"/>
      <c r="AK7" s="2247"/>
      <c r="AL7" s="2248"/>
      <c r="AM7" s="1259" t="s">
        <v>441</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442</v>
      </c>
      <c r="M8" s="1636"/>
      <c r="N8" s="1632"/>
      <c r="O8" s="1632"/>
      <c r="P8" s="2258"/>
      <c r="Q8" s="2258"/>
      <c r="R8" s="358">
        <v>1</v>
      </c>
      <c r="S8" s="1959">
        <f>$K8</f>
      </c>
      <c r="T8" s="1348"/>
      <c r="U8" s="301"/>
      <c r="V8" s="752"/>
      <c r="W8" s="326"/>
      <c r="X8" s="752"/>
      <c r="Y8" s="1258"/>
      <c r="Z8" s="2266"/>
      <c r="AA8" s="2108" t="s">
        <v>64</v>
      </c>
      <c r="AB8" s="2266"/>
      <c r="AC8" s="2108" t="s">
        <v>64</v>
      </c>
      <c r="AD8" s="752"/>
      <c r="AE8" s="326"/>
      <c r="AF8" s="752"/>
      <c r="AG8" s="1258"/>
      <c r="AH8" s="2266"/>
      <c r="AI8" s="2108" t="s">
        <v>64</v>
      </c>
      <c r="AJ8" s="2266"/>
      <c r="AK8" s="2108" t="s">
        <v>64</v>
      </c>
      <c r="AL8" s="326"/>
      <c r="AM8" s="2254" t="s">
        <v>443</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444</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445</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446</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218</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219</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227</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64</v>
      </c>
      <c r="AJ17" s="2268"/>
      <c r="AK17" s="2269" t="s">
        <v>64</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447</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448</v>
      </c>
      <c r="P22" s="1363"/>
      <c r="Q22" s="1372"/>
      <c r="R22" s="1372"/>
      <c r="S22" s="730"/>
      <c r="T22" s="1367" t="s">
        <v>449</v>
      </c>
      <c r="AA22" s="596" t="s">
        <v>450</v>
      </c>
      <c r="AC22" s="596" t="s">
        <v>451</v>
      </c>
      <c r="AD22" s="1367" t="s">
        <v>449</v>
      </c>
      <c r="AI22" s="596" t="s">
        <v>452</v>
      </c>
      <c r="AK22" s="596" t="s">
        <v>451</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КГУП "Примтеплоэнерго"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Агентство по тарифам Приморского края</v>
      </c>
      <c r="W29" s="2252"/>
      <c r="X29" s="2252"/>
      <c r="Y29" s="2252"/>
      <c r="Z29" s="2252"/>
      <c r="AA29" s="2252"/>
      <c r="AB29" s="2252"/>
      <c r="AC29" s="1636"/>
      <c r="AD29" s="2252" t="str">
        <f>IF(TITLE_NAME_OR_PR_CHANGE="",IF(TITLE_NAME_OR_PR="","",TITLE_NAME_OR_PR),TITLE_NAME_OR_PR_CHANGE)</f>
        <v>Агентство по тарифам Приморского края</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453</v>
      </c>
      <c r="T30" s="2251"/>
      <c r="U30" s="1373"/>
      <c r="V30" s="2265" t="str">
        <f>IF(TITLE_DATE_PR_CHANGE="",IF(TITLE_DATE_PR="","",TITLE_DATE_PR),TITLE_DATE_PR_CHANGE)</f>
        <v>45777.43633101852</v>
      </c>
      <c r="W30" s="2265"/>
      <c r="X30" s="2265"/>
      <c r="Y30" s="2265"/>
      <c r="Z30" s="2265"/>
      <c r="AA30" s="2265"/>
      <c r="AB30" s="2265"/>
      <c r="AC30" s="1636"/>
      <c r="AD30" s="2265" t="str">
        <f>IF(TITLE_DATE_PR_CHANGE="",IF(TITLE_DATE_PR="","",TITLE_DATE_PR),TITLE_DATE_PR_CHANGE)</f>
        <v>45777.43633101852</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454</v>
      </c>
      <c r="T31" s="2251"/>
      <c r="U31" s="1373"/>
      <c r="V31" s="2252" t="str">
        <f>IF(TITLE_NUMBER_PR_CHANGE="",IF(TITLE_NUMBER_PR="","",TITLE_NUMBER_PR),TITLE_NUMBER_PR_CHANGE)</f>
        <v>17-1</v>
      </c>
      <c r="W31" s="2252"/>
      <c r="X31" s="2252"/>
      <c r="Y31" s="2252"/>
      <c r="Z31" s="2252"/>
      <c r="AA31" s="2252"/>
      <c r="AB31" s="2252"/>
      <c r="AC31" s="1636"/>
      <c r="AD31" s="2252" t="str">
        <f>IF(TITLE_NUMBER_PR_CHANGE="",IF(TITLE_NUMBER_PR="","",TITLE_NUMBER_PR),TITLE_NUMBER_PR_CHANGE)</f>
        <v>17-1</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44</v>
      </c>
      <c r="T32" s="2251"/>
      <c r="U32" s="1373"/>
      <c r="V32" s="2252" t="str">
        <f>IF(TITLE_IST_PUB_CHANGE="",IF(TITLE_IST_PUB="","",TITLE_IST_PUB),TITLE_IST_PUB_CHANGE)</f>
        <v>http://pravo.gov.ru</v>
      </c>
      <c r="W32" s="2252"/>
      <c r="X32" s="2252"/>
      <c r="Y32" s="2252"/>
      <c r="Z32" s="2252"/>
      <c r="AA32" s="2252"/>
      <c r="AB32" s="2252"/>
      <c r="AC32" s="1636"/>
      <c r="AD32" s="2252" t="str">
        <f>IF(TITLE_IST_PUB_CHANGE="",IF(TITLE_IST_PUB="","",TITLE_IST_PUB),TITLE_IST_PUB_CHANGE)</f>
        <v>http://pravo.gov.ru</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455</v>
      </c>
      <c r="T34" s="2251"/>
      <c r="U34" s="1373"/>
      <c r="V34" s="2265" t="str">
        <f>IF(TITLE_DATE_PR_CHANGE="",IF(TITLE_DATE_PR="","",TITLE_DATE_PR),TITLE_DATE_PR_CHANGE)</f>
        <v>45777.43633101852</v>
      </c>
      <c r="W34" s="2265"/>
      <c r="X34" s="2265"/>
      <c r="Y34" s="2265"/>
      <c r="Z34" s="2265"/>
      <c r="AA34" s="2265"/>
      <c r="AB34" s="2265"/>
      <c r="AC34" s="1636"/>
      <c r="AD34" s="2265" t="str">
        <f>IF(TITLE_DATE_PR_CHANGE="",IF(TITLE_DATE_PR="","",TITLE_DATE_PR),TITLE_DATE_PR_CHANGE)</f>
        <v>45777.43633101852</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456</v>
      </c>
      <c r="T35" s="2251"/>
      <c r="U35" s="1373"/>
      <c r="V35" s="2252" t="str">
        <f>IF(TITLE_NUMBER_PR_CHANGE="",IF(TITLE_NUMBER_PR="","",TITLE_NUMBER_PR),TITLE_NUMBER_PR_CHANGE)</f>
        <v>17-1</v>
      </c>
      <c r="W35" s="2252"/>
      <c r="X35" s="2252"/>
      <c r="Y35" s="2252"/>
      <c r="Z35" s="2252"/>
      <c r="AA35" s="2252"/>
      <c r="AB35" s="2252"/>
      <c r="AC35" s="1636"/>
      <c r="AD35" s="2252" t="str">
        <f>IF(TITLE_NUMBER_PR_CHANGE="",IF(TITLE_NUMBER_PR="","",TITLE_NUMBER_PR),TITLE_NUMBER_PR_CHANGE)</f>
        <v>17-1</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457</v>
      </c>
      <c r="AD36" s="1636"/>
      <c r="AE36" s="1636"/>
      <c r="AF36" s="1636"/>
      <c r="AG36" s="1636"/>
      <c r="AH36" s="1636"/>
      <c r="AI36" s="1636"/>
      <c r="AJ36" s="1636"/>
      <c r="AK36" s="1643" t="s">
        <v>457</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333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334</v>
      </c>
      <c r="AS38" s="1632">
        <v>14</v>
      </c>
    </row>
    <row customHeight="1" ht="14.699999999999998">
      <c r="Q39" s="377"/>
      <c r="R39" s="377"/>
      <c r="S39" s="2274" t="s">
        <v>91</v>
      </c>
      <c r="T39" s="2210" t="s">
        <v>458</v>
      </c>
      <c r="U39" s="338"/>
      <c r="V39" s="2275" t="s">
        <v>459</v>
      </c>
      <c r="W39" s="2276"/>
      <c r="X39" s="2276"/>
      <c r="Y39" s="2276"/>
      <c r="Z39" s="2276"/>
      <c r="AA39" s="2276"/>
      <c r="AB39" s="2277"/>
      <c r="AC39" s="2278" t="s">
        <v>460</v>
      </c>
      <c r="AD39" s="2275" t="s">
        <v>459</v>
      </c>
      <c r="AE39" s="2276"/>
      <c r="AF39" s="2276"/>
      <c r="AG39" s="2276"/>
      <c r="AH39" s="2276"/>
      <c r="AI39" s="2276"/>
      <c r="AJ39" s="2277"/>
      <c r="AK39" s="2278" t="s">
        <v>461</v>
      </c>
      <c r="AL39" s="2281" t="s">
        <v>462</v>
      </c>
      <c r="AM39" s="2128"/>
      <c r="AS39" s="1632">
        <v>14</v>
      </c>
    </row>
    <row customHeight="1" ht="35.699999999999996">
      <c r="Q40" s="377"/>
      <c r="R40" s="377"/>
      <c r="S40" s="2274"/>
      <c r="T40" s="2210"/>
      <c r="U40" s="1032"/>
      <c r="V40" s="2261" t="s">
        <v>463</v>
      </c>
      <c r="W40" s="2284" t="s">
        <v>464</v>
      </c>
      <c r="X40" s="2263" t="s">
        <v>465</v>
      </c>
      <c r="Y40" s="2264"/>
      <c r="Z40" s="2263" t="s">
        <v>478</v>
      </c>
      <c r="AA40" s="2270"/>
      <c r="AB40" s="2264"/>
      <c r="AC40" s="2279"/>
      <c r="AD40" s="2261" t="s">
        <v>463</v>
      </c>
      <c r="AE40" s="2284" t="s">
        <v>464</v>
      </c>
      <c r="AF40" s="2263" t="s">
        <v>465</v>
      </c>
      <c r="AG40" s="2264"/>
      <c r="AH40" s="2263" t="s">
        <v>466</v>
      </c>
      <c r="AI40" s="2270"/>
      <c r="AJ40" s="2264"/>
      <c r="AK40" s="2279"/>
      <c r="AL40" s="2282"/>
      <c r="AM40" s="2128"/>
      <c r="AS40" s="1632">
        <v>34</v>
      </c>
    </row>
    <row customHeight="1" ht="35.699999999999996">
      <c r="A41" s="1267"/>
      <c r="B41" s="1267" t="s">
        <v>149</v>
      </c>
      <c r="C41" s="1267" t="s">
        <v>150</v>
      </c>
      <c r="D41" s="1267" t="s">
        <v>151</v>
      </c>
      <c r="E41" s="1311" t="s">
        <v>467</v>
      </c>
      <c r="F41" s="1311" t="s">
        <v>468</v>
      </c>
      <c r="G41" s="1311" t="s">
        <v>469</v>
      </c>
      <c r="H41" s="1311" t="s">
        <v>470</v>
      </c>
      <c r="I41" s="1311" t="s">
        <v>471</v>
      </c>
      <c r="J41" s="1311" t="s">
        <v>472</v>
      </c>
      <c r="K41" s="1311" t="s">
        <v>473</v>
      </c>
      <c r="L41" s="1311" t="s">
        <v>448</v>
      </c>
      <c r="Q41" s="377"/>
      <c r="R41" s="377"/>
      <c r="S41" s="2274"/>
      <c r="T41" s="2210"/>
      <c r="U41" s="303"/>
      <c r="V41" s="2262"/>
      <c r="W41" s="2285"/>
      <c r="X41" s="1939" t="s">
        <v>474</v>
      </c>
      <c r="Y41" s="1939" t="s">
        <v>475</v>
      </c>
      <c r="Z41" s="1939" t="s">
        <v>476</v>
      </c>
      <c r="AA41" s="2271" t="s">
        <v>477</v>
      </c>
      <c r="AB41" s="2272"/>
      <c r="AC41" s="2280"/>
      <c r="AD41" s="2262"/>
      <c r="AE41" s="2285"/>
      <c r="AF41" s="1939" t="s">
        <v>474</v>
      </c>
      <c r="AG41" s="1939" t="s">
        <v>475</v>
      </c>
      <c r="AH41" s="1939" t="s">
        <v>476</v>
      </c>
      <c r="AI41" s="2271" t="s">
        <v>477</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124</v>
      </c>
      <c r="T42" s="1256" t="s">
        <v>107</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245</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137</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5"/>
      <c r="AP43" s="1625" t="str">
        <f>IF(T43="","",T43)</f>
        <v>Наименование тарифа</v>
      </c>
      <c r="AQ43" s="1625"/>
      <c r="AR43" s="1625"/>
      <c r="AS43" s="1632">
        <v>21</v>
      </c>
    </row>
    <row customHeight="1" ht="22.049999999999997">
      <c r="A44" s="1268" t="s">
        <v>245</v>
      </c>
      <c r="B44" s="1268" t="s">
        <v>246</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430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431</v>
      </c>
      <c r="AO44" s="1625"/>
      <c r="AP44" s="1625" t="str">
        <f>IF(T44="","",T44)</f>
        <v>Территория действия тарифа</v>
      </c>
      <c r="AQ44" s="1625"/>
      <c r="AR44" s="1625"/>
      <c r="AS44" s="1632">
        <v>21</v>
      </c>
    </row>
    <row customHeight="1" ht="24">
      <c r="A45" s="1268" t="s">
        <v>245</v>
      </c>
      <c r="B45" s="1268" t="s">
        <v>246</v>
      </c>
      <c r="C45" s="1268" t="s">
        <v>247</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432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433</v>
      </c>
      <c r="AO45" s="1625"/>
      <c r="AP45" s="1625" t="str">
        <f>IF(T45="","",T45)</f>
        <v>Наименование системы теплоснабжения </v>
      </c>
      <c r="AQ45" s="1625"/>
      <c r="AR45" s="1625"/>
      <c r="AS45" s="1632">
        <v>23</v>
      </c>
    </row>
    <row customHeight="1" ht="22.049999999999997">
      <c r="A46" s="1268" t="s">
        <v>245</v>
      </c>
      <c r="B46" s="1268" t="s">
        <v>246</v>
      </c>
      <c r="C46" s="1268" t="s">
        <v>247</v>
      </c>
      <c r="D46" s="1268" t="s">
        <v>248</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434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435</v>
      </c>
      <c r="AO46" s="1625"/>
      <c r="AP46" s="1625" t="str">
        <f>IF(T46="","",T46)</f>
        <v>Источник тепловой энергии  </v>
      </c>
      <c r="AQ46" s="1625"/>
      <c r="AR46" s="1625"/>
      <c r="AS46" s="1632">
        <v>21</v>
      </c>
    </row>
    <row customHeight="1" ht="49.5">
      <c r="A47" s="1268" t="s">
        <v>245</v>
      </c>
      <c r="B47" s="1268" t="s">
        <v>246</v>
      </c>
      <c r="C47" s="1268" t="s">
        <v>247</v>
      </c>
      <c r="D47" s="1268" t="s">
        <v>248</v>
      </c>
      <c r="E47" s="2291"/>
      <c r="F47" s="2291"/>
      <c r="G47" s="2291"/>
      <c r="H47" s="2291"/>
      <c r="I47" s="2128" t="str">
        <f>S46&amp;".1"</f>
        <v>....1</v>
      </c>
      <c r="J47" s="1268"/>
      <c r="K47" s="1268"/>
      <c r="L47" s="1311" t="s">
        <v>436</v>
      </c>
      <c r="P47" s="2258">
        <v>1</v>
      </c>
      <c r="Q47" s="1955"/>
      <c r="R47" s="357"/>
      <c r="S47" s="1959" t="str">
        <f>$I47</f>
        <v>....1</v>
      </c>
      <c r="T47" s="286" t="s">
        <v>437</v>
      </c>
      <c r="U47" s="301"/>
      <c r="V47" s="2246"/>
      <c r="W47" s="2247"/>
      <c r="X47" s="2247"/>
      <c r="Y47" s="2247"/>
      <c r="Z47" s="2247"/>
      <c r="AA47" s="2247"/>
      <c r="AB47" s="2247"/>
      <c r="AC47" s="2248"/>
      <c r="AD47" s="2246"/>
      <c r="AE47" s="2247"/>
      <c r="AF47" s="2247"/>
      <c r="AG47" s="2247"/>
      <c r="AH47" s="2247"/>
      <c r="AI47" s="2247"/>
      <c r="AJ47" s="2247"/>
      <c r="AK47" s="2247"/>
      <c r="AL47" s="2248"/>
      <c r="AM47" s="1259" t="s">
        <v>438</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245</v>
      </c>
      <c r="B48" s="1268" t="s">
        <v>246</v>
      </c>
      <c r="C48" s="1268" t="s">
        <v>247</v>
      </c>
      <c r="D48" s="1268" t="s">
        <v>248</v>
      </c>
      <c r="E48" s="2291"/>
      <c r="F48" s="2291"/>
      <c r="G48" s="2291"/>
      <c r="H48" s="2291"/>
      <c r="I48" s="2102"/>
      <c r="J48" s="2128" t="str">
        <f>I47&amp;".1"</f>
        <v>....1.1</v>
      </c>
      <c r="K48" s="1268"/>
      <c r="L48" s="1311" t="s">
        <v>439</v>
      </c>
      <c r="P48" s="2258"/>
      <c r="Q48" s="2258">
        <v>1</v>
      </c>
      <c r="R48" s="358"/>
      <c r="S48" s="1959" t="str">
        <f>$J48</f>
        <v>....1.1</v>
      </c>
      <c r="T48" s="287" t="s">
        <v>440</v>
      </c>
      <c r="U48" s="301"/>
      <c r="V48" s="2246"/>
      <c r="W48" s="2247"/>
      <c r="X48" s="2247"/>
      <c r="Y48" s="2247"/>
      <c r="Z48" s="2247"/>
      <c r="AA48" s="2247"/>
      <c r="AB48" s="2247"/>
      <c r="AC48" s="2248"/>
      <c r="AD48" s="2246"/>
      <c r="AE48" s="2247"/>
      <c r="AF48" s="2247"/>
      <c r="AG48" s="2247"/>
      <c r="AH48" s="2247"/>
      <c r="AI48" s="2247"/>
      <c r="AJ48" s="2247"/>
      <c r="AK48" s="2247"/>
      <c r="AL48" s="2248"/>
      <c r="AM48" s="1259" t="s">
        <v>441</v>
      </c>
      <c r="AO48" s="1625"/>
      <c r="AP48" s="1625" t="str">
        <f>IF(T48="","",T48)</f>
        <v>Группа потребителей</v>
      </c>
      <c r="AQ48" s="1625"/>
      <c r="AR48" s="1625"/>
      <c r="AS48" s="1632">
        <v>21</v>
      </c>
    </row>
    <row customHeight="1" ht="22.049999999999997">
      <c r="A49" s="1268" t="s">
        <v>245</v>
      </c>
      <c r="B49" s="1268" t="s">
        <v>246</v>
      </c>
      <c r="C49" s="1268" t="s">
        <v>247</v>
      </c>
      <c r="D49" s="1268" t="s">
        <v>248</v>
      </c>
      <c r="E49" s="2291"/>
      <c r="F49" s="2291"/>
      <c r="G49" s="2291"/>
      <c r="H49" s="2291"/>
      <c r="I49" s="2102"/>
      <c r="J49" s="2102"/>
      <c r="K49" s="2128" t="str">
        <f>J48&amp;".1"</f>
        <v>....1.1.1</v>
      </c>
      <c r="L49" s="1311" t="s">
        <v>442</v>
      </c>
      <c r="P49" s="2258"/>
      <c r="Q49" s="2258"/>
      <c r="R49" s="358">
        <v>1</v>
      </c>
      <c r="S49" s="1959" t="str">
        <f>$K49</f>
        <v>....1.1.1</v>
      </c>
      <c r="T49" s="1348"/>
      <c r="U49" s="301"/>
      <c r="V49" s="752"/>
      <c r="W49" s="326"/>
      <c r="X49" s="752"/>
      <c r="Y49" s="1258"/>
      <c r="Z49" s="2266"/>
      <c r="AA49" s="2108" t="s">
        <v>64</v>
      </c>
      <c r="AB49" s="2266"/>
      <c r="AC49" s="2108" t="s">
        <v>64</v>
      </c>
      <c r="AD49" s="752"/>
      <c r="AE49" s="326"/>
      <c r="AF49" s="752"/>
      <c r="AG49" s="1258"/>
      <c r="AH49" s="2266"/>
      <c r="AI49" s="2108" t="s">
        <v>64</v>
      </c>
      <c r="AJ49" s="2288"/>
      <c r="AK49" s="2108" t="s">
        <v>64</v>
      </c>
      <c r="AL49" s="1349"/>
      <c r="AM49" s="2254" t="s">
        <v>443</v>
      </c>
      <c r="AN49" s="1637">
        <f>STRCHECKDATE(V50:AL50)</f>
      </c>
      <c r="AO49" s="1625"/>
      <c r="AP49" s="1625" t="str">
        <f>IF(T49="","",T49)</f>
        <v/>
      </c>
      <c r="AQ49" s="1625"/>
      <c r="AR49" s="1625"/>
      <c r="AS49" s="1632">
        <v>21</v>
      </c>
    </row>
    <row customHeight="1" ht="1.05">
      <c r="A50" s="1268" t="s">
        <v>245</v>
      </c>
      <c r="B50" s="1268" t="s">
        <v>246</v>
      </c>
      <c r="C50" s="1268" t="s">
        <v>247</v>
      </c>
      <c r="D50" s="1268" t="s">
        <v>248</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245</v>
      </c>
      <c r="B51" s="1268" t="s">
        <v>246</v>
      </c>
      <c r="C51" s="1268" t="s">
        <v>247</v>
      </c>
      <c r="D51" s="1268" t="s">
        <v>248</v>
      </c>
      <c r="E51" s="2291"/>
      <c r="F51" s="2291"/>
      <c r="G51" s="2291"/>
      <c r="H51" s="2291"/>
      <c r="I51" s="2102"/>
      <c r="J51" s="2128"/>
      <c r="K51" s="1268"/>
      <c r="L51" s="1311"/>
      <c r="P51" s="2258"/>
      <c r="Q51" s="2258"/>
      <c r="R51" s="357"/>
      <c r="S51" s="1279"/>
      <c r="T51" s="289" t="s">
        <v>444</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245</v>
      </c>
      <c r="B52" s="1268" t="s">
        <v>246</v>
      </c>
      <c r="C52" s="1268" t="s">
        <v>247</v>
      </c>
      <c r="D52" s="1268" t="s">
        <v>248</v>
      </c>
      <c r="E52" s="2291"/>
      <c r="F52" s="2291"/>
      <c r="G52" s="2291"/>
      <c r="H52" s="2291"/>
      <c r="I52" s="2128"/>
      <c r="J52" s="1268"/>
      <c r="K52" s="1268"/>
      <c r="L52" s="1311"/>
      <c r="P52" s="2258"/>
      <c r="Q52" s="1955"/>
      <c r="R52" s="357"/>
      <c r="S52" s="1279"/>
      <c r="T52" s="288" t="s">
        <v>445</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245</v>
      </c>
      <c r="B53" s="1268" t="s">
        <v>246</v>
      </c>
      <c r="C53" s="1268" t="s">
        <v>247</v>
      </c>
      <c r="D53" s="1268" t="s">
        <v>248</v>
      </c>
      <c r="E53" s="2291"/>
      <c r="F53" s="2291"/>
      <c r="G53" s="2291"/>
      <c r="H53" s="2290"/>
      <c r="I53" s="1268"/>
      <c r="J53" s="1268"/>
      <c r="K53" s="1268"/>
      <c r="L53" s="1311"/>
      <c r="M53" s="1611"/>
      <c r="N53" s="1611"/>
      <c r="O53" s="1636"/>
      <c r="P53" s="361"/>
      <c r="Q53" s="376"/>
      <c r="R53" s="356"/>
      <c r="S53" s="1279"/>
      <c r="T53" s="366" t="s">
        <v>446</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245</v>
      </c>
      <c r="B54" s="1376" t="s">
        <v>246</v>
      </c>
      <c r="C54" s="1376" t="s">
        <v>247</v>
      </c>
      <c r="D54" s="1375"/>
      <c r="E54" s="2291"/>
      <c r="F54" s="2291"/>
      <c r="G54" s="2290"/>
      <c r="H54" s="1375"/>
      <c r="I54" s="1375"/>
      <c r="J54" s="1375"/>
      <c r="K54" s="1375"/>
      <c r="L54" s="1378"/>
      <c r="M54" s="1379"/>
      <c r="N54" s="1379"/>
      <c r="O54" s="352"/>
      <c r="P54" s="1317"/>
      <c r="Q54" s="1318"/>
      <c r="R54" s="1317"/>
      <c r="S54" s="1323"/>
      <c r="T54" s="1326" t="s">
        <v>218</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245</v>
      </c>
      <c r="B55" s="1376" t="s">
        <v>246</v>
      </c>
      <c r="C55" s="1375"/>
      <c r="D55" s="1375"/>
      <c r="E55" s="2291"/>
      <c r="F55" s="2290"/>
      <c r="G55" s="1375"/>
      <c r="H55" s="1375"/>
      <c r="I55" s="1375"/>
      <c r="J55" s="1375"/>
      <c r="K55" s="1375"/>
      <c r="L55" s="1378"/>
      <c r="M55" s="1380"/>
      <c r="N55" s="1380"/>
      <c r="O55" s="352"/>
      <c r="P55" s="1317"/>
      <c r="Q55" s="1318"/>
      <c r="R55" s="1317"/>
      <c r="S55" s="1323"/>
      <c r="T55" s="1326" t="s">
        <v>219</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245</v>
      </c>
      <c r="B56" s="1376"/>
      <c r="C56" s="1376"/>
      <c r="D56" s="1376"/>
      <c r="E56" s="2290"/>
      <c r="F56" s="1376"/>
      <c r="G56" s="1376"/>
      <c r="H56" s="1376"/>
      <c r="I56" s="1376"/>
      <c r="J56" s="1376"/>
      <c r="K56" s="1376"/>
      <c r="L56" s="1382"/>
      <c r="M56" s="1380"/>
      <c r="N56" s="1380"/>
      <c r="O56" s="352"/>
      <c r="P56" s="381"/>
      <c r="Q56" s="1345"/>
      <c r="R56" s="381"/>
      <c r="S56" s="1323"/>
      <c r="T56" s="1326" t="s">
        <v>227</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236</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85</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386526-F078-6FA8-E762-0121FDD6762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137</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429</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430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431</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432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433</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434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435</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436</v>
      </c>
      <c r="M6" s="1636"/>
      <c r="P6" s="2258">
        <v>1</v>
      </c>
      <c r="Q6" s="1955"/>
      <c r="R6" s="357"/>
      <c r="S6" s="1959">
        <f>$I6</f>
      </c>
      <c r="T6" s="286" t="s">
        <v>437</v>
      </c>
      <c r="U6" s="301"/>
      <c r="V6" s="2246"/>
      <c r="W6" s="2247"/>
      <c r="X6" s="2247"/>
      <c r="Y6" s="2247"/>
      <c r="Z6" s="2247"/>
      <c r="AA6" s="2247"/>
      <c r="AB6" s="2247"/>
      <c r="AC6" s="2248"/>
      <c r="AD6" s="2246"/>
      <c r="AE6" s="2247"/>
      <c r="AF6" s="2247"/>
      <c r="AG6" s="2247"/>
      <c r="AH6" s="2247"/>
      <c r="AI6" s="2247"/>
      <c r="AJ6" s="2247"/>
      <c r="AK6" s="2247"/>
      <c r="AL6" s="2248"/>
      <c r="AM6" s="1259" t="s">
        <v>438</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439</v>
      </c>
      <c r="M7" s="1636"/>
      <c r="N7" s="1632"/>
      <c r="P7" s="2258"/>
      <c r="Q7" s="2258">
        <v>1</v>
      </c>
      <c r="R7" s="358"/>
      <c r="S7" s="1959">
        <f>$J7</f>
      </c>
      <c r="T7" s="287" t="s">
        <v>440</v>
      </c>
      <c r="U7" s="301"/>
      <c r="V7" s="2246"/>
      <c r="W7" s="2247"/>
      <c r="X7" s="2247"/>
      <c r="Y7" s="2247"/>
      <c r="Z7" s="2247"/>
      <c r="AA7" s="2247"/>
      <c r="AB7" s="2247"/>
      <c r="AC7" s="2248"/>
      <c r="AD7" s="2246"/>
      <c r="AE7" s="2247"/>
      <c r="AF7" s="2247"/>
      <c r="AG7" s="2247"/>
      <c r="AH7" s="2247"/>
      <c r="AI7" s="2247"/>
      <c r="AJ7" s="2247"/>
      <c r="AK7" s="2247"/>
      <c r="AL7" s="2248"/>
      <c r="AM7" s="1259" t="s">
        <v>441</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442</v>
      </c>
      <c r="M8" s="1636"/>
      <c r="N8" s="1632"/>
      <c r="O8" s="1632"/>
      <c r="P8" s="2258"/>
      <c r="Q8" s="2258"/>
      <c r="R8" s="358">
        <v>1</v>
      </c>
      <c r="S8" s="1959">
        <f>$K8</f>
      </c>
      <c r="T8" s="1348"/>
      <c r="U8" s="301"/>
      <c r="V8" s="752"/>
      <c r="W8" s="326"/>
      <c r="X8" s="752"/>
      <c r="Y8" s="1258"/>
      <c r="Z8" s="2266"/>
      <c r="AA8" s="2108" t="s">
        <v>64</v>
      </c>
      <c r="AB8" s="2266"/>
      <c r="AC8" s="2108" t="s">
        <v>64</v>
      </c>
      <c r="AD8" s="752"/>
      <c r="AE8" s="326"/>
      <c r="AF8" s="752"/>
      <c r="AG8" s="1258"/>
      <c r="AH8" s="2266"/>
      <c r="AI8" s="2108" t="s">
        <v>64</v>
      </c>
      <c r="AJ8" s="2266"/>
      <c r="AK8" s="2108" t="s">
        <v>64</v>
      </c>
      <c r="AL8" s="326"/>
      <c r="AM8" s="2254" t="s">
        <v>443</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444</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445</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446</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218</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219</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227</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64</v>
      </c>
      <c r="AJ17" s="2268"/>
      <c r="AK17" s="2269" t="s">
        <v>64</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447</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448</v>
      </c>
      <c r="P22" s="1363"/>
      <c r="Q22" s="1372"/>
      <c r="R22" s="1372"/>
      <c r="S22" s="730"/>
      <c r="T22" s="1367" t="s">
        <v>449</v>
      </c>
      <c r="AA22" s="596" t="s">
        <v>450</v>
      </c>
      <c r="AC22" s="596" t="s">
        <v>451</v>
      </c>
      <c r="AD22" s="1367" t="s">
        <v>449</v>
      </c>
      <c r="AI22" s="596" t="s">
        <v>452</v>
      </c>
      <c r="AK22" s="596" t="s">
        <v>451</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КГУП "Примтеплоэнерго"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Агентство по тарифам Приморского края</v>
      </c>
      <c r="W29" s="2252"/>
      <c r="X29" s="2252"/>
      <c r="Y29" s="2252"/>
      <c r="Z29" s="2252"/>
      <c r="AA29" s="2252"/>
      <c r="AB29" s="2252"/>
      <c r="AC29" s="1636"/>
      <c r="AD29" s="2252" t="str">
        <f>IF(TITLE_NAME_OR_PR_CHANGE="",IF(TITLE_NAME_OR_PR="","",TITLE_NAME_OR_PR),TITLE_NAME_OR_PR_CHANGE)</f>
        <v>Агентство по тарифам Приморского края</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453</v>
      </c>
      <c r="T30" s="2251"/>
      <c r="U30" s="1373"/>
      <c r="V30" s="2265" t="str">
        <f>IF(TITLE_DATE_PR_CHANGE="",IF(TITLE_DATE_PR="","",TITLE_DATE_PR),TITLE_DATE_PR_CHANGE)</f>
        <v>45777.43633101852</v>
      </c>
      <c r="W30" s="2265"/>
      <c r="X30" s="2265"/>
      <c r="Y30" s="2265"/>
      <c r="Z30" s="2265"/>
      <c r="AA30" s="2265"/>
      <c r="AB30" s="2265"/>
      <c r="AC30" s="1636"/>
      <c r="AD30" s="2265" t="str">
        <f>IF(TITLE_DATE_PR_CHANGE="",IF(TITLE_DATE_PR="","",TITLE_DATE_PR),TITLE_DATE_PR_CHANGE)</f>
        <v>45777.43633101852</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454</v>
      </c>
      <c r="T31" s="2251"/>
      <c r="U31" s="1373"/>
      <c r="V31" s="2252" t="str">
        <f>IF(TITLE_NUMBER_PR_CHANGE="",IF(TITLE_NUMBER_PR="","",TITLE_NUMBER_PR),TITLE_NUMBER_PR_CHANGE)</f>
        <v>17-1</v>
      </c>
      <c r="W31" s="2252"/>
      <c r="X31" s="2252"/>
      <c r="Y31" s="2252"/>
      <c r="Z31" s="2252"/>
      <c r="AA31" s="2252"/>
      <c r="AB31" s="2252"/>
      <c r="AC31" s="1636"/>
      <c r="AD31" s="2252" t="str">
        <f>IF(TITLE_NUMBER_PR_CHANGE="",IF(TITLE_NUMBER_PR="","",TITLE_NUMBER_PR),TITLE_NUMBER_PR_CHANGE)</f>
        <v>17-1</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44</v>
      </c>
      <c r="T32" s="2251"/>
      <c r="U32" s="1373"/>
      <c r="V32" s="2252" t="str">
        <f>IF(TITLE_IST_PUB_CHANGE="",IF(TITLE_IST_PUB="","",TITLE_IST_PUB),TITLE_IST_PUB_CHANGE)</f>
        <v>http://pravo.gov.ru</v>
      </c>
      <c r="W32" s="2252"/>
      <c r="X32" s="2252"/>
      <c r="Y32" s="2252"/>
      <c r="Z32" s="2252"/>
      <c r="AA32" s="2252"/>
      <c r="AB32" s="2252"/>
      <c r="AC32" s="1636"/>
      <c r="AD32" s="2252" t="str">
        <f>IF(TITLE_IST_PUB_CHANGE="",IF(TITLE_IST_PUB="","",TITLE_IST_PUB),TITLE_IST_PUB_CHANGE)</f>
        <v>http://pravo.gov.ru</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455</v>
      </c>
      <c r="T34" s="2251"/>
      <c r="U34" s="1373"/>
      <c r="V34" s="2265" t="str">
        <f>IF(TITLE_DATE_PR_CHANGE="",IF(TITLE_DATE_PR="","",TITLE_DATE_PR),TITLE_DATE_PR_CHANGE)</f>
        <v>45777.43633101852</v>
      </c>
      <c r="W34" s="2265"/>
      <c r="X34" s="2265"/>
      <c r="Y34" s="2265"/>
      <c r="Z34" s="2265"/>
      <c r="AA34" s="2265"/>
      <c r="AB34" s="2265"/>
      <c r="AC34" s="1636"/>
      <c r="AD34" s="2265" t="str">
        <f>IF(TITLE_DATE_PR_CHANGE="",IF(TITLE_DATE_PR="","",TITLE_DATE_PR),TITLE_DATE_PR_CHANGE)</f>
        <v>45777.43633101852</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456</v>
      </c>
      <c r="T35" s="2251"/>
      <c r="U35" s="1373"/>
      <c r="V35" s="2252" t="str">
        <f>IF(TITLE_NUMBER_PR_CHANGE="",IF(TITLE_NUMBER_PR="","",TITLE_NUMBER_PR),TITLE_NUMBER_PR_CHANGE)</f>
        <v>17-1</v>
      </c>
      <c r="W35" s="2252"/>
      <c r="X35" s="2252"/>
      <c r="Y35" s="2252"/>
      <c r="Z35" s="2252"/>
      <c r="AA35" s="2252"/>
      <c r="AB35" s="2252"/>
      <c r="AC35" s="1636"/>
      <c r="AD35" s="2252" t="str">
        <f>IF(TITLE_NUMBER_PR_CHANGE="",IF(TITLE_NUMBER_PR="","",TITLE_NUMBER_PR),TITLE_NUMBER_PR_CHANGE)</f>
        <v>17-1</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457</v>
      </c>
      <c r="AD36" s="1636"/>
      <c r="AE36" s="1636"/>
      <c r="AF36" s="1636"/>
      <c r="AG36" s="1636"/>
      <c r="AH36" s="1636"/>
      <c r="AI36" s="1636"/>
      <c r="AJ36" s="1636"/>
      <c r="AK36" s="1643" t="s">
        <v>457</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333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334</v>
      </c>
      <c r="AS38" s="1632">
        <v>14</v>
      </c>
    </row>
    <row customHeight="1" ht="14.699999999999998">
      <c r="Q39" s="377"/>
      <c r="R39" s="377"/>
      <c r="S39" s="2274" t="s">
        <v>91</v>
      </c>
      <c r="T39" s="2210" t="s">
        <v>458</v>
      </c>
      <c r="U39" s="338"/>
      <c r="V39" s="2275" t="s">
        <v>459</v>
      </c>
      <c r="W39" s="2276"/>
      <c r="X39" s="2276"/>
      <c r="Y39" s="2276"/>
      <c r="Z39" s="2276"/>
      <c r="AA39" s="2276"/>
      <c r="AB39" s="2277"/>
      <c r="AC39" s="2278" t="s">
        <v>460</v>
      </c>
      <c r="AD39" s="2275" t="s">
        <v>459</v>
      </c>
      <c r="AE39" s="2276"/>
      <c r="AF39" s="2276"/>
      <c r="AG39" s="2276"/>
      <c r="AH39" s="2276"/>
      <c r="AI39" s="2276"/>
      <c r="AJ39" s="2277"/>
      <c r="AK39" s="2278" t="s">
        <v>461</v>
      </c>
      <c r="AL39" s="2281" t="s">
        <v>462</v>
      </c>
      <c r="AM39" s="2128"/>
      <c r="AS39" s="1632">
        <v>14</v>
      </c>
    </row>
    <row customHeight="1" ht="35.699999999999996">
      <c r="Q40" s="377"/>
      <c r="R40" s="377"/>
      <c r="S40" s="2274"/>
      <c r="T40" s="2210"/>
      <c r="U40" s="1032"/>
      <c r="V40" s="2261" t="s">
        <v>463</v>
      </c>
      <c r="W40" s="2284" t="s">
        <v>464</v>
      </c>
      <c r="X40" s="2263" t="s">
        <v>465</v>
      </c>
      <c r="Y40" s="2264"/>
      <c r="Z40" s="2263" t="s">
        <v>478</v>
      </c>
      <c r="AA40" s="2270"/>
      <c r="AB40" s="2264"/>
      <c r="AC40" s="2279"/>
      <c r="AD40" s="2261" t="s">
        <v>463</v>
      </c>
      <c r="AE40" s="2284" t="s">
        <v>464</v>
      </c>
      <c r="AF40" s="2263" t="s">
        <v>465</v>
      </c>
      <c r="AG40" s="2264"/>
      <c r="AH40" s="2263" t="s">
        <v>466</v>
      </c>
      <c r="AI40" s="2270"/>
      <c r="AJ40" s="2264"/>
      <c r="AK40" s="2279"/>
      <c r="AL40" s="2282"/>
      <c r="AM40" s="2128"/>
      <c r="AS40" s="1632">
        <v>34</v>
      </c>
    </row>
    <row customHeight="1" ht="35.699999999999996">
      <c r="A41" s="1267"/>
      <c r="B41" s="1267" t="s">
        <v>149</v>
      </c>
      <c r="C41" s="1267" t="s">
        <v>150</v>
      </c>
      <c r="D41" s="1267" t="s">
        <v>151</v>
      </c>
      <c r="E41" s="1311" t="s">
        <v>467</v>
      </c>
      <c r="F41" s="1311" t="s">
        <v>468</v>
      </c>
      <c r="G41" s="1311" t="s">
        <v>469</v>
      </c>
      <c r="H41" s="1311" t="s">
        <v>470</v>
      </c>
      <c r="I41" s="1311" t="s">
        <v>471</v>
      </c>
      <c r="J41" s="1311" t="s">
        <v>472</v>
      </c>
      <c r="K41" s="1311" t="s">
        <v>473</v>
      </c>
      <c r="L41" s="1311" t="s">
        <v>448</v>
      </c>
      <c r="Q41" s="377"/>
      <c r="R41" s="377"/>
      <c r="S41" s="2274"/>
      <c r="T41" s="2210"/>
      <c r="U41" s="303"/>
      <c r="V41" s="2262"/>
      <c r="W41" s="2285"/>
      <c r="X41" s="1939" t="s">
        <v>474</v>
      </c>
      <c r="Y41" s="1939" t="s">
        <v>475</v>
      </c>
      <c r="Z41" s="1939" t="s">
        <v>476</v>
      </c>
      <c r="AA41" s="2271" t="s">
        <v>477</v>
      </c>
      <c r="AB41" s="2272"/>
      <c r="AC41" s="2280"/>
      <c r="AD41" s="2262"/>
      <c r="AE41" s="2285"/>
      <c r="AF41" s="1939" t="s">
        <v>474</v>
      </c>
      <c r="AG41" s="1939" t="s">
        <v>475</v>
      </c>
      <c r="AH41" s="1939" t="s">
        <v>476</v>
      </c>
      <c r="AI41" s="2271" t="s">
        <v>477</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124</v>
      </c>
      <c r="T42" s="1256" t="s">
        <v>107</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245</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137</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5"/>
      <c r="AP43" s="1625" t="str">
        <f>IF(T43="","",T43)</f>
        <v>Наименование тарифа</v>
      </c>
      <c r="AQ43" s="1625"/>
      <c r="AR43" s="1625"/>
      <c r="AS43" s="1632">
        <v>21</v>
      </c>
    </row>
    <row customHeight="1" ht="22.049999999999997">
      <c r="A44" s="1268" t="s">
        <v>245</v>
      </c>
      <c r="B44" s="1268" t="s">
        <v>246</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430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431</v>
      </c>
      <c r="AO44" s="1625"/>
      <c r="AP44" s="1625" t="str">
        <f>IF(T44="","",T44)</f>
        <v>Территория действия тарифа</v>
      </c>
      <c r="AQ44" s="1625"/>
      <c r="AR44" s="1625"/>
      <c r="AS44" s="1632">
        <v>21</v>
      </c>
    </row>
    <row customHeight="1" ht="24">
      <c r="A45" s="1268" t="s">
        <v>245</v>
      </c>
      <c r="B45" s="1268" t="s">
        <v>246</v>
      </c>
      <c r="C45" s="1268" t="s">
        <v>247</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432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433</v>
      </c>
      <c r="AO45" s="1625"/>
      <c r="AP45" s="1625" t="str">
        <f>IF(T45="","",T45)</f>
        <v>Наименование системы теплоснабжения </v>
      </c>
      <c r="AQ45" s="1625"/>
      <c r="AR45" s="1625"/>
      <c r="AS45" s="1632">
        <v>23</v>
      </c>
    </row>
    <row customHeight="1" ht="22.049999999999997">
      <c r="A46" s="1268" t="s">
        <v>245</v>
      </c>
      <c r="B46" s="1268" t="s">
        <v>246</v>
      </c>
      <c r="C46" s="1268" t="s">
        <v>247</v>
      </c>
      <c r="D46" s="1268" t="s">
        <v>248</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434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435</v>
      </c>
      <c r="AO46" s="1625"/>
      <c r="AP46" s="1625" t="str">
        <f>IF(T46="","",T46)</f>
        <v>Источник тепловой энергии  </v>
      </c>
      <c r="AQ46" s="1625"/>
      <c r="AR46" s="1625"/>
      <c r="AS46" s="1632">
        <v>21</v>
      </c>
    </row>
    <row customHeight="1" ht="49.5">
      <c r="A47" s="1268" t="s">
        <v>245</v>
      </c>
      <c r="B47" s="1268" t="s">
        <v>246</v>
      </c>
      <c r="C47" s="1268" t="s">
        <v>247</v>
      </c>
      <c r="D47" s="1268" t="s">
        <v>248</v>
      </c>
      <c r="E47" s="2291"/>
      <c r="F47" s="2291"/>
      <c r="G47" s="2291"/>
      <c r="H47" s="2291"/>
      <c r="I47" s="2128" t="str">
        <f>S46&amp;".1"</f>
        <v>....1</v>
      </c>
      <c r="J47" s="1268"/>
      <c r="K47" s="1268"/>
      <c r="L47" s="1311" t="s">
        <v>436</v>
      </c>
      <c r="P47" s="2258">
        <v>1</v>
      </c>
      <c r="Q47" s="1955"/>
      <c r="R47" s="357"/>
      <c r="S47" s="1959" t="str">
        <f>$I47</f>
        <v>....1</v>
      </c>
      <c r="T47" s="286" t="s">
        <v>437</v>
      </c>
      <c r="U47" s="301"/>
      <c r="V47" s="2246"/>
      <c r="W47" s="2247"/>
      <c r="X47" s="2247"/>
      <c r="Y47" s="2247"/>
      <c r="Z47" s="2247"/>
      <c r="AA47" s="2247"/>
      <c r="AB47" s="2247"/>
      <c r="AC47" s="2248"/>
      <c r="AD47" s="2246"/>
      <c r="AE47" s="2247"/>
      <c r="AF47" s="2247"/>
      <c r="AG47" s="2247"/>
      <c r="AH47" s="2247"/>
      <c r="AI47" s="2247"/>
      <c r="AJ47" s="2247"/>
      <c r="AK47" s="2247"/>
      <c r="AL47" s="2248"/>
      <c r="AM47" s="1259" t="s">
        <v>438</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245</v>
      </c>
      <c r="B48" s="1268" t="s">
        <v>246</v>
      </c>
      <c r="C48" s="1268" t="s">
        <v>247</v>
      </c>
      <c r="D48" s="1268" t="s">
        <v>248</v>
      </c>
      <c r="E48" s="2291"/>
      <c r="F48" s="2291"/>
      <c r="G48" s="2291"/>
      <c r="H48" s="2291"/>
      <c r="I48" s="2102"/>
      <c r="J48" s="2128" t="str">
        <f>I47&amp;".1"</f>
        <v>....1.1</v>
      </c>
      <c r="K48" s="1268"/>
      <c r="L48" s="1311" t="s">
        <v>439</v>
      </c>
      <c r="P48" s="2258"/>
      <c r="Q48" s="2258">
        <v>1</v>
      </c>
      <c r="R48" s="358"/>
      <c r="S48" s="1959" t="str">
        <f>$J48</f>
        <v>....1.1</v>
      </c>
      <c r="T48" s="287" t="s">
        <v>440</v>
      </c>
      <c r="U48" s="301"/>
      <c r="V48" s="2246"/>
      <c r="W48" s="2247"/>
      <c r="X48" s="2247"/>
      <c r="Y48" s="2247"/>
      <c r="Z48" s="2247"/>
      <c r="AA48" s="2247"/>
      <c r="AB48" s="2247"/>
      <c r="AC48" s="2248"/>
      <c r="AD48" s="2246"/>
      <c r="AE48" s="2247"/>
      <c r="AF48" s="2247"/>
      <c r="AG48" s="2247"/>
      <c r="AH48" s="2247"/>
      <c r="AI48" s="2247"/>
      <c r="AJ48" s="2247"/>
      <c r="AK48" s="2247"/>
      <c r="AL48" s="2248"/>
      <c r="AM48" s="1259" t="s">
        <v>441</v>
      </c>
      <c r="AO48" s="1625"/>
      <c r="AP48" s="1625" t="str">
        <f>IF(T48="","",T48)</f>
        <v>Группа потребителей</v>
      </c>
      <c r="AQ48" s="1625"/>
      <c r="AR48" s="1625"/>
      <c r="AS48" s="1632">
        <v>21</v>
      </c>
    </row>
    <row customHeight="1" ht="22.049999999999997">
      <c r="A49" s="1268" t="s">
        <v>245</v>
      </c>
      <c r="B49" s="1268" t="s">
        <v>246</v>
      </c>
      <c r="C49" s="1268" t="s">
        <v>247</v>
      </c>
      <c r="D49" s="1268" t="s">
        <v>248</v>
      </c>
      <c r="E49" s="2291"/>
      <c r="F49" s="2291"/>
      <c r="G49" s="2291"/>
      <c r="H49" s="2291"/>
      <c r="I49" s="2102"/>
      <c r="J49" s="2102"/>
      <c r="K49" s="2128" t="str">
        <f>J48&amp;".1"</f>
        <v>....1.1.1</v>
      </c>
      <c r="L49" s="1311" t="s">
        <v>442</v>
      </c>
      <c r="P49" s="2258"/>
      <c r="Q49" s="2258"/>
      <c r="R49" s="358">
        <v>1</v>
      </c>
      <c r="S49" s="1959" t="str">
        <f>$K49</f>
        <v>....1.1.1</v>
      </c>
      <c r="T49" s="1348"/>
      <c r="U49" s="301"/>
      <c r="V49" s="752"/>
      <c r="W49" s="326"/>
      <c r="X49" s="752"/>
      <c r="Y49" s="1258"/>
      <c r="Z49" s="2266"/>
      <c r="AA49" s="2108" t="s">
        <v>64</v>
      </c>
      <c r="AB49" s="2266"/>
      <c r="AC49" s="2108" t="s">
        <v>64</v>
      </c>
      <c r="AD49" s="752"/>
      <c r="AE49" s="326"/>
      <c r="AF49" s="752"/>
      <c r="AG49" s="1258"/>
      <c r="AH49" s="2266"/>
      <c r="AI49" s="2108" t="s">
        <v>64</v>
      </c>
      <c r="AJ49" s="2288"/>
      <c r="AK49" s="2108" t="s">
        <v>64</v>
      </c>
      <c r="AL49" s="1349"/>
      <c r="AM49" s="2254" t="s">
        <v>443</v>
      </c>
      <c r="AN49" s="1637">
        <f>STRCHECKDATE(V50:AL50)</f>
      </c>
      <c r="AO49" s="1625"/>
      <c r="AP49" s="1625" t="str">
        <f>IF(T49="","",T49)</f>
        <v/>
      </c>
      <c r="AQ49" s="1625"/>
      <c r="AR49" s="1625"/>
      <c r="AS49" s="1632">
        <v>21</v>
      </c>
    </row>
    <row customHeight="1" ht="1.05">
      <c r="A50" s="1268" t="s">
        <v>245</v>
      </c>
      <c r="B50" s="1268" t="s">
        <v>246</v>
      </c>
      <c r="C50" s="1268" t="s">
        <v>247</v>
      </c>
      <c r="D50" s="1268" t="s">
        <v>248</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245</v>
      </c>
      <c r="B51" s="1268" t="s">
        <v>246</v>
      </c>
      <c r="C51" s="1268" t="s">
        <v>247</v>
      </c>
      <c r="D51" s="1268" t="s">
        <v>248</v>
      </c>
      <c r="E51" s="2291"/>
      <c r="F51" s="2291"/>
      <c r="G51" s="2291"/>
      <c r="H51" s="2291"/>
      <c r="I51" s="2102"/>
      <c r="J51" s="2128"/>
      <c r="K51" s="1268"/>
      <c r="L51" s="1311"/>
      <c r="P51" s="2258"/>
      <c r="Q51" s="2258"/>
      <c r="R51" s="357"/>
      <c r="S51" s="1279"/>
      <c r="T51" s="289" t="s">
        <v>444</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245</v>
      </c>
      <c r="B52" s="1268" t="s">
        <v>246</v>
      </c>
      <c r="C52" s="1268" t="s">
        <v>247</v>
      </c>
      <c r="D52" s="1268" t="s">
        <v>248</v>
      </c>
      <c r="E52" s="2291"/>
      <c r="F52" s="2291"/>
      <c r="G52" s="2291"/>
      <c r="H52" s="2291"/>
      <c r="I52" s="2128"/>
      <c r="J52" s="1268"/>
      <c r="K52" s="1268"/>
      <c r="L52" s="1311"/>
      <c r="P52" s="2258"/>
      <c r="Q52" s="1955"/>
      <c r="R52" s="357"/>
      <c r="S52" s="1279"/>
      <c r="T52" s="288" t="s">
        <v>445</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245</v>
      </c>
      <c r="B53" s="1268" t="s">
        <v>246</v>
      </c>
      <c r="C53" s="1268" t="s">
        <v>247</v>
      </c>
      <c r="D53" s="1268" t="s">
        <v>248</v>
      </c>
      <c r="E53" s="2291"/>
      <c r="F53" s="2291"/>
      <c r="G53" s="2291"/>
      <c r="H53" s="2290"/>
      <c r="I53" s="1268"/>
      <c r="J53" s="1268"/>
      <c r="K53" s="1268"/>
      <c r="L53" s="1311"/>
      <c r="M53" s="1611"/>
      <c r="N53" s="1611"/>
      <c r="O53" s="1636"/>
      <c r="P53" s="361"/>
      <c r="Q53" s="376"/>
      <c r="R53" s="356"/>
      <c r="S53" s="1279"/>
      <c r="T53" s="366" t="s">
        <v>446</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245</v>
      </c>
      <c r="B54" s="1268" t="s">
        <v>246</v>
      </c>
      <c r="C54" s="1268" t="s">
        <v>247</v>
      </c>
      <c r="D54" s="1975"/>
      <c r="E54" s="2291"/>
      <c r="F54" s="2291"/>
      <c r="G54" s="2290"/>
      <c r="H54" s="1975"/>
      <c r="I54" s="1975"/>
      <c r="J54" s="1975"/>
      <c r="K54" s="1975"/>
      <c r="L54" s="1381"/>
      <c r="M54" s="1611"/>
      <c r="N54" s="1611"/>
      <c r="O54" s="1636"/>
      <c r="P54" s="1317"/>
      <c r="Q54" s="1318"/>
      <c r="R54" s="1317"/>
      <c r="S54" s="1323"/>
      <c r="T54" s="1326" t="s">
        <v>218</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245</v>
      </c>
      <c r="B55" s="1268" t="s">
        <v>246</v>
      </c>
      <c r="C55" s="1975"/>
      <c r="D55" s="1975"/>
      <c r="E55" s="2291"/>
      <c r="F55" s="2290"/>
      <c r="G55" s="1975"/>
      <c r="H55" s="1975"/>
      <c r="I55" s="1975"/>
      <c r="J55" s="1975"/>
      <c r="K55" s="1975"/>
      <c r="L55" s="1381"/>
      <c r="M55" s="1976"/>
      <c r="N55" s="1976"/>
      <c r="O55" s="1636"/>
      <c r="P55" s="1317"/>
      <c r="Q55" s="1318"/>
      <c r="R55" s="1317"/>
      <c r="S55" s="1323"/>
      <c r="T55" s="1326" t="s">
        <v>219</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245</v>
      </c>
      <c r="B56" s="1268"/>
      <c r="C56" s="1268"/>
      <c r="D56" s="1268"/>
      <c r="E56" s="2290"/>
      <c r="F56" s="1268"/>
      <c r="G56" s="1268"/>
      <c r="H56" s="1268"/>
      <c r="I56" s="1268"/>
      <c r="J56" s="1268"/>
      <c r="K56" s="1268"/>
      <c r="L56" s="1311"/>
      <c r="M56" s="1976"/>
      <c r="N56" s="1976"/>
      <c r="O56" s="1636"/>
      <c r="P56" s="381"/>
      <c r="Q56" s="1345"/>
      <c r="R56" s="381"/>
      <c r="S56" s="1323"/>
      <c r="T56" s="1326" t="s">
        <v>227</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236</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85</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52D8B8-7CD8-3C88-0EC8-B445EF5DC87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137</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429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430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431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432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433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434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435</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436</v>
      </c>
      <c r="M6" s="538"/>
      <c r="P6" s="2258">
        <v>1</v>
      </c>
      <c r="Q6" s="1332"/>
      <c r="R6" s="357"/>
      <c r="S6" s="1337">
        <f>$I6</f>
      </c>
      <c r="T6" s="286" t="s">
        <v>437</v>
      </c>
      <c r="U6" s="301"/>
      <c r="V6" s="2246"/>
      <c r="W6" s="2247"/>
      <c r="X6" s="2247"/>
      <c r="Y6" s="2247"/>
      <c r="Z6" s="2247"/>
      <c r="AA6" s="2247"/>
      <c r="AB6" s="2247"/>
      <c r="AC6" s="2248"/>
      <c r="AD6" s="2246"/>
      <c r="AE6" s="2247"/>
      <c r="AF6" s="2247"/>
      <c r="AG6" s="2247"/>
      <c r="AH6" s="2247"/>
      <c r="AI6" s="2247"/>
      <c r="AJ6" s="2247"/>
      <c r="AK6" s="2247"/>
      <c r="AL6" s="2248"/>
      <c r="AM6" s="1259" t="s">
        <v>438</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439</v>
      </c>
      <c r="M7" s="538"/>
      <c r="N7" s="1367"/>
      <c r="P7" s="2258"/>
      <c r="Q7" s="2258">
        <v>1</v>
      </c>
      <c r="R7" s="358"/>
      <c r="S7" s="1337">
        <f>$J7</f>
      </c>
      <c r="T7" s="287" t="s">
        <v>440</v>
      </c>
      <c r="U7" s="301"/>
      <c r="V7" s="2246"/>
      <c r="W7" s="2247"/>
      <c r="X7" s="2247"/>
      <c r="Y7" s="2247"/>
      <c r="Z7" s="2247"/>
      <c r="AA7" s="2247"/>
      <c r="AB7" s="2247"/>
      <c r="AC7" s="2248"/>
      <c r="AD7" s="2246"/>
      <c r="AE7" s="2247"/>
      <c r="AF7" s="2247"/>
      <c r="AG7" s="2247"/>
      <c r="AH7" s="2247"/>
      <c r="AI7" s="2247"/>
      <c r="AJ7" s="2247"/>
      <c r="AK7" s="2247"/>
      <c r="AL7" s="2248"/>
      <c r="AM7" s="1259" t="s">
        <v>441</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442</v>
      </c>
      <c r="M8" s="538"/>
      <c r="N8" s="1367"/>
      <c r="O8" s="1367"/>
      <c r="P8" s="2258"/>
      <c r="Q8" s="2258"/>
      <c r="R8" s="358">
        <v>1</v>
      </c>
      <c r="S8" s="1337">
        <f>$K8</f>
      </c>
      <c r="T8" s="1348"/>
      <c r="U8" s="301"/>
      <c r="V8" s="326"/>
      <c r="W8" s="752"/>
      <c r="X8" s="326"/>
      <c r="Y8" s="385"/>
      <c r="Z8" s="2266"/>
      <c r="AA8" s="2108" t="s">
        <v>64</v>
      </c>
      <c r="AB8" s="2266"/>
      <c r="AC8" s="2108" t="s">
        <v>64</v>
      </c>
      <c r="AD8" s="326"/>
      <c r="AE8" s="752"/>
      <c r="AF8" s="326"/>
      <c r="AG8" s="385"/>
      <c r="AH8" s="2266"/>
      <c r="AI8" s="2108" t="s">
        <v>64</v>
      </c>
      <c r="AJ8" s="2266"/>
      <c r="AK8" s="2108" t="s">
        <v>64</v>
      </c>
      <c r="AL8" s="326"/>
      <c r="AM8" s="2254" t="s">
        <v>443</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444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445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446</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218</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219</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227</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64</v>
      </c>
      <c r="AJ17" s="2268"/>
      <c r="AK17" s="2269" t="s">
        <v>64</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447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448</v>
      </c>
      <c r="P22" s="1363"/>
      <c r="Q22" s="1372"/>
      <c r="R22" s="1372"/>
      <c r="S22" s="730"/>
      <c r="T22" s="1161" t="s">
        <v>449</v>
      </c>
      <c r="AA22" s="187" t="s">
        <v>450</v>
      </c>
      <c r="AC22" s="187" t="s">
        <v>451</v>
      </c>
      <c r="AD22" s="1161" t="s">
        <v>449</v>
      </c>
      <c r="AI22" s="187" t="s">
        <v>452</v>
      </c>
      <c r="AK22" s="187" t="s">
        <v>451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КГУП "Примтеплоэнерго"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Агентство по тарифам Приморского края</v>
      </c>
      <c r="W29" s="2252"/>
      <c r="X29" s="2252"/>
      <c r="Y29" s="2252"/>
      <c r="Z29" s="2252"/>
      <c r="AA29" s="2252"/>
      <c r="AB29" s="2252"/>
      <c r="AC29" s="327"/>
      <c r="AD29" s="2252" t="str">
        <f>IF(TITLE_NAME_OR_PR_CHANGE="",IF(TITLE_NAME_OR_PR="","",TITLE_NAME_OR_PR),TITLE_NAME_OR_PR_CHANGE)</f>
        <v>Агентство по тарифам Приморского края</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453</v>
      </c>
      <c r="T30" s="2251"/>
      <c r="U30" s="1373"/>
      <c r="V30" s="2265" t="str">
        <f>IF(TITLE_DATE_PR_CHANGE="",IF(TITLE_DATE_PR="","",TITLE_DATE_PR),TITLE_DATE_PR_CHANGE)</f>
        <v>45777.43633101852</v>
      </c>
      <c r="W30" s="2265"/>
      <c r="X30" s="2265"/>
      <c r="Y30" s="2265"/>
      <c r="Z30" s="2265"/>
      <c r="AA30" s="2265"/>
      <c r="AB30" s="2265"/>
      <c r="AC30" s="327"/>
      <c r="AD30" s="2265" t="str">
        <f>IF(TITLE_DATE_PR_CHANGE="",IF(TITLE_DATE_PR="","",TITLE_DATE_PR),TITLE_DATE_PR_CHANGE)</f>
        <v>45777.43633101852</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454</v>
      </c>
      <c r="T31" s="2251"/>
      <c r="U31" s="1373"/>
      <c r="V31" s="2252" t="str">
        <f>IF(TITLE_NUMBER_PR_CHANGE="",IF(TITLE_NUMBER_PR="","",TITLE_NUMBER_PR),TITLE_NUMBER_PR_CHANGE)</f>
        <v>17-1</v>
      </c>
      <c r="W31" s="2252"/>
      <c r="X31" s="2252"/>
      <c r="Y31" s="2252"/>
      <c r="Z31" s="2252"/>
      <c r="AA31" s="2252"/>
      <c r="AB31" s="2252"/>
      <c r="AC31" s="327"/>
      <c r="AD31" s="2252" t="str">
        <f>IF(TITLE_NUMBER_PR_CHANGE="",IF(TITLE_NUMBER_PR="","",TITLE_NUMBER_PR),TITLE_NUMBER_PR_CHANGE)</f>
        <v>17-1</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http://pravo.gov.ru</v>
      </c>
      <c r="W32" s="2252"/>
      <c r="X32" s="2252"/>
      <c r="Y32" s="2252"/>
      <c r="Z32" s="2252"/>
      <c r="AA32" s="2252"/>
      <c r="AB32" s="2252"/>
      <c r="AC32" s="327"/>
      <c r="AD32" s="2252" t="str">
        <f>IF(TITLE_IST_PUB_CHANGE="",IF(TITLE_IST_PUB="","",TITLE_IST_PUB),TITLE_IST_PUB_CHANGE)</f>
        <v>http://pravo.gov.ru</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455</v>
      </c>
      <c r="T34" s="2251"/>
      <c r="U34" s="1373"/>
      <c r="V34" s="2265" t="str">
        <f>IF(TITLE_DATE_PR_CHANGE="",IF(TITLE_DATE_PR="","",TITLE_DATE_PR),TITLE_DATE_PR_CHANGE)</f>
        <v>45777.43633101852</v>
      </c>
      <c r="W34" s="2265"/>
      <c r="X34" s="2265"/>
      <c r="Y34" s="2265"/>
      <c r="Z34" s="2265"/>
      <c r="AA34" s="2265"/>
      <c r="AB34" s="2265"/>
      <c r="AC34" s="327"/>
      <c r="AD34" s="2265" t="str">
        <f>IF(TITLE_DATE_PR_CHANGE="",IF(TITLE_DATE_PR="","",TITLE_DATE_PR),TITLE_DATE_PR_CHANGE)</f>
        <v>45777.43633101852</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456</v>
      </c>
      <c r="T35" s="2251"/>
      <c r="U35" s="1373"/>
      <c r="V35" s="2252" t="str">
        <f>IF(TITLE_NUMBER_PR_CHANGE="",IF(TITLE_NUMBER_PR="","",TITLE_NUMBER_PR),TITLE_NUMBER_PR_CHANGE)</f>
        <v>17-1</v>
      </c>
      <c r="W35" s="2252"/>
      <c r="X35" s="2252"/>
      <c r="Y35" s="2252"/>
      <c r="Z35" s="2252"/>
      <c r="AA35" s="2252"/>
      <c r="AB35" s="2252"/>
      <c r="AC35" s="327"/>
      <c r="AD35" s="2252" t="str">
        <f>IF(TITLE_NUMBER_PR_CHANGE="",IF(TITLE_NUMBER_PR="","",TITLE_NUMBER_PR),TITLE_NUMBER_PR_CHANGE)</f>
        <v>17-1</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457</v>
      </c>
      <c r="AD36" s="327"/>
      <c r="AE36" s="327"/>
      <c r="AF36" s="327"/>
      <c r="AG36" s="327"/>
      <c r="AH36" s="327"/>
      <c r="AI36" s="327"/>
      <c r="AJ36" s="327"/>
      <c r="AK36" s="279" t="s">
        <v>457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333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334</v>
      </c>
      <c r="AS38" s="1156">
        <v>14</v>
      </c>
    </row>
    <row customHeight="1" ht="14.699999999999998">
      <c r="Q39" s="377"/>
      <c r="R39" s="377"/>
      <c r="S39" s="2274" t="s">
        <v>91</v>
      </c>
      <c r="T39" s="2210" t="s">
        <v>458</v>
      </c>
      <c r="U39" s="302"/>
      <c r="V39" s="2275" t="s">
        <v>459</v>
      </c>
      <c r="W39" s="2276"/>
      <c r="X39" s="2292"/>
      <c r="Y39" s="2292"/>
      <c r="Z39" s="2276"/>
      <c r="AA39" s="2276"/>
      <c r="AB39" s="2277"/>
      <c r="AC39" s="2278" t="s">
        <v>460</v>
      </c>
      <c r="AD39" s="2275" t="s">
        <v>459</v>
      </c>
      <c r="AE39" s="2276"/>
      <c r="AF39" s="2292"/>
      <c r="AG39" s="2292"/>
      <c r="AH39" s="2276"/>
      <c r="AI39" s="2276"/>
      <c r="AJ39" s="2277"/>
      <c r="AK39" s="2278" t="s">
        <v>461</v>
      </c>
      <c r="AL39" s="2281" t="s">
        <v>462</v>
      </c>
      <c r="AM39" s="2128"/>
      <c r="AS39" s="1156">
        <v>14</v>
      </c>
    </row>
    <row customHeight="1" ht="24">
      <c r="Q40" s="377"/>
      <c r="R40" s="377"/>
      <c r="S40" s="2274"/>
      <c r="T40" s="2210"/>
      <c r="U40" s="1032"/>
      <c r="V40" s="2293" t="s">
        <v>463</v>
      </c>
      <c r="W40" s="2295" t="s">
        <v>464</v>
      </c>
      <c r="X40" s="1377" t="s">
        <v>465</v>
      </c>
      <c r="Y40" s="1377"/>
      <c r="Z40" s="2270" t="s">
        <v>466</v>
      </c>
      <c r="AA40" s="2270"/>
      <c r="AB40" s="2264"/>
      <c r="AC40" s="2279"/>
      <c r="AD40" s="2293" t="s">
        <v>463</v>
      </c>
      <c r="AE40" s="2295" t="s">
        <v>464</v>
      </c>
      <c r="AF40" s="1377" t="s">
        <v>465</v>
      </c>
      <c r="AG40" s="1377"/>
      <c r="AH40" s="2270" t="s">
        <v>466</v>
      </c>
      <c r="AI40" s="2270"/>
      <c r="AJ40" s="2264"/>
      <c r="AK40" s="2279"/>
      <c r="AL40" s="2282"/>
      <c r="AM40" s="2128"/>
      <c r="AS40" s="1156">
        <v>23</v>
      </c>
    </row>
    <row s="1267" customFormat="1" customHeight="1" ht="24">
      <c r="A41" s="1371"/>
      <c r="B41" s="1371" t="s">
        <v>149</v>
      </c>
      <c r="C41" s="1371" t="s">
        <v>150</v>
      </c>
      <c r="D41" s="1371" t="s">
        <v>151</v>
      </c>
      <c r="E41" s="1365" t="s">
        <v>467</v>
      </c>
      <c r="F41" s="1365" t="s">
        <v>468</v>
      </c>
      <c r="G41" s="1365" t="s">
        <v>469</v>
      </c>
      <c r="H41" s="1365" t="s">
        <v>470</v>
      </c>
      <c r="I41" s="1365" t="s">
        <v>471</v>
      </c>
      <c r="J41" s="1365" t="s">
        <v>472</v>
      </c>
      <c r="K41" s="1365" t="s">
        <v>473</v>
      </c>
      <c r="L41" s="1365" t="s">
        <v>448</v>
      </c>
      <c r="M41" s="1363"/>
      <c r="N41" s="1363"/>
      <c r="O41" s="1363"/>
      <c r="P41" s="1329"/>
      <c r="Q41" s="377"/>
      <c r="R41" s="377"/>
      <c r="S41" s="2274"/>
      <c r="T41" s="2210"/>
      <c r="U41" s="303"/>
      <c r="V41" s="2294"/>
      <c r="W41" s="2296"/>
      <c r="X41" s="1374" t="s">
        <v>474</v>
      </c>
      <c r="Y41" s="1374" t="s">
        <v>475</v>
      </c>
      <c r="Z41" s="1335" t="s">
        <v>476</v>
      </c>
      <c r="AA41" s="2271" t="s">
        <v>477</v>
      </c>
      <c r="AB41" s="2272"/>
      <c r="AC41" s="2280"/>
      <c r="AD41" s="2294"/>
      <c r="AE41" s="2296"/>
      <c r="AF41" s="1374" t="s">
        <v>474</v>
      </c>
      <c r="AG41" s="1374" t="s">
        <v>475</v>
      </c>
      <c r="AH41" s="1335" t="s">
        <v>476</v>
      </c>
      <c r="AI41" s="2271" t="s">
        <v>477</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124</v>
      </c>
      <c r="T42" s="1256" t="s">
        <v>107</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206</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137</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206</v>
      </c>
      <c r="B44" s="1364" t="s">
        <v>207</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430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431</v>
      </c>
      <c r="AO44" s="501"/>
      <c r="AP44" s="501" t="str">
        <f>IF(T44="","",T44)</f>
        <v>Территория действия тарифа</v>
      </c>
      <c r="AQ44" s="501"/>
      <c r="AR44" s="501"/>
      <c r="AS44" s="1156">
        <v>21</v>
      </c>
    </row>
    <row customHeight="1" ht="24">
      <c r="A45" s="1364" t="s">
        <v>206</v>
      </c>
      <c r="B45" s="1364" t="s">
        <v>207</v>
      </c>
      <c r="C45" s="1364" t="s">
        <v>208</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432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433</v>
      </c>
      <c r="AO45" s="501"/>
      <c r="AP45" s="501" t="str">
        <f>IF(T45="","",T45)</f>
        <v>Наименование системы теплоснабжения </v>
      </c>
      <c r="AQ45" s="501"/>
      <c r="AR45" s="501"/>
      <c r="AS45" s="1156">
        <v>23</v>
      </c>
    </row>
    <row customHeight="1" ht="22.049999999999997">
      <c r="A46" s="1364" t="s">
        <v>206</v>
      </c>
      <c r="B46" s="1364" t="s">
        <v>207</v>
      </c>
      <c r="C46" s="1364" t="s">
        <v>208</v>
      </c>
      <c r="D46" s="1364" t="s">
        <v>209</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434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435</v>
      </c>
      <c r="AO46" s="501"/>
      <c r="AP46" s="501" t="str">
        <f>IF(T46="","",T46)</f>
        <v>Источник тепловой энергии  </v>
      </c>
      <c r="AQ46" s="501"/>
      <c r="AR46" s="501"/>
      <c r="AS46" s="1156">
        <v>21</v>
      </c>
    </row>
    <row customHeight="1" ht="49.5">
      <c r="A47" s="1364" t="s">
        <v>206</v>
      </c>
      <c r="B47" s="1364" t="s">
        <v>207</v>
      </c>
      <c r="C47" s="1364" t="s">
        <v>208</v>
      </c>
      <c r="D47" s="1364" t="s">
        <v>209</v>
      </c>
      <c r="E47" s="2260"/>
      <c r="F47" s="2260"/>
      <c r="G47" s="2260"/>
      <c r="H47" s="2260"/>
      <c r="I47" s="2257" t="str">
        <f>S46&amp;".1"</f>
        <v>....1</v>
      </c>
      <c r="J47" s="1364"/>
      <c r="K47" s="1364"/>
      <c r="L47" s="1365" t="s">
        <v>436</v>
      </c>
      <c r="P47" s="2258">
        <v>1</v>
      </c>
      <c r="Q47" s="1332"/>
      <c r="R47" s="357"/>
      <c r="S47" s="1337" t="str">
        <f>$I47</f>
        <v>....1</v>
      </c>
      <c r="T47" s="286" t="s">
        <v>437</v>
      </c>
      <c r="U47" s="301"/>
      <c r="V47" s="2246"/>
      <c r="W47" s="2247"/>
      <c r="X47" s="2247"/>
      <c r="Y47" s="2247"/>
      <c r="Z47" s="2247"/>
      <c r="AA47" s="2247"/>
      <c r="AB47" s="2247"/>
      <c r="AC47" s="2248"/>
      <c r="AD47" s="2246"/>
      <c r="AE47" s="2247"/>
      <c r="AF47" s="2247"/>
      <c r="AG47" s="2247"/>
      <c r="AH47" s="2247"/>
      <c r="AI47" s="2247"/>
      <c r="AJ47" s="2247"/>
      <c r="AK47" s="2247"/>
      <c r="AL47" s="2248"/>
      <c r="AM47" s="1259" t="s">
        <v>438</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206</v>
      </c>
      <c r="B48" s="1364" t="s">
        <v>207</v>
      </c>
      <c r="C48" s="1364" t="s">
        <v>208</v>
      </c>
      <c r="D48" s="1364" t="s">
        <v>209</v>
      </c>
      <c r="E48" s="2260"/>
      <c r="F48" s="2260"/>
      <c r="G48" s="2260"/>
      <c r="H48" s="2260"/>
      <c r="I48" s="2287"/>
      <c r="J48" s="2257" t="str">
        <f>I47&amp;".1"</f>
        <v>....1.1</v>
      </c>
      <c r="K48" s="1364"/>
      <c r="L48" s="1365" t="s">
        <v>439</v>
      </c>
      <c r="P48" s="2258"/>
      <c r="Q48" s="2258">
        <v>1</v>
      </c>
      <c r="R48" s="358"/>
      <c r="S48" s="1337" t="str">
        <f>$J48</f>
        <v>....1.1</v>
      </c>
      <c r="T48" s="287" t="s">
        <v>440</v>
      </c>
      <c r="U48" s="301"/>
      <c r="V48" s="2246"/>
      <c r="W48" s="2247"/>
      <c r="X48" s="2247"/>
      <c r="Y48" s="2247"/>
      <c r="Z48" s="2247"/>
      <c r="AA48" s="2247"/>
      <c r="AB48" s="2247"/>
      <c r="AC48" s="2248"/>
      <c r="AD48" s="2246"/>
      <c r="AE48" s="2247"/>
      <c r="AF48" s="2247"/>
      <c r="AG48" s="2247"/>
      <c r="AH48" s="2247"/>
      <c r="AI48" s="2247"/>
      <c r="AJ48" s="2247"/>
      <c r="AK48" s="2247"/>
      <c r="AL48" s="2248"/>
      <c r="AM48" s="1259" t="s">
        <v>441</v>
      </c>
      <c r="AO48" s="501"/>
      <c r="AP48" s="501" t="str">
        <f>IF(T48="","",T48)</f>
        <v>Группа потребителей</v>
      </c>
      <c r="AQ48" s="501"/>
      <c r="AR48" s="501"/>
      <c r="AS48" s="1156">
        <v>21</v>
      </c>
    </row>
    <row customHeight="1" ht="22.049999999999997">
      <c r="A49" s="1364" t="s">
        <v>206</v>
      </c>
      <c r="B49" s="1364" t="s">
        <v>207</v>
      </c>
      <c r="C49" s="1364" t="s">
        <v>208</v>
      </c>
      <c r="D49" s="1364" t="s">
        <v>209</v>
      </c>
      <c r="E49" s="2260"/>
      <c r="F49" s="2260"/>
      <c r="G49" s="2260"/>
      <c r="H49" s="2260"/>
      <c r="I49" s="2287"/>
      <c r="J49" s="2287"/>
      <c r="K49" s="2257" t="str">
        <f>J48&amp;".1"</f>
        <v>....1.1.1</v>
      </c>
      <c r="L49" s="1365" t="s">
        <v>442</v>
      </c>
      <c r="P49" s="2258"/>
      <c r="Q49" s="2258"/>
      <c r="R49" s="358">
        <v>1</v>
      </c>
      <c r="S49" s="1337" t="str">
        <f>$K49</f>
        <v>....1.1.1</v>
      </c>
      <c r="T49" s="1348"/>
      <c r="U49" s="301"/>
      <c r="V49" s="326"/>
      <c r="W49" s="752"/>
      <c r="X49" s="326"/>
      <c r="Y49" s="385"/>
      <c r="Z49" s="2266"/>
      <c r="AA49" s="2108" t="s">
        <v>64</v>
      </c>
      <c r="AB49" s="2266"/>
      <c r="AC49" s="2108" t="s">
        <v>64</v>
      </c>
      <c r="AD49" s="326"/>
      <c r="AE49" s="752"/>
      <c r="AF49" s="326"/>
      <c r="AG49" s="385"/>
      <c r="AH49" s="2266"/>
      <c r="AI49" s="2108" t="s">
        <v>64</v>
      </c>
      <c r="AJ49" s="2288"/>
      <c r="AK49" s="2108" t="s">
        <v>64</v>
      </c>
      <c r="AL49" s="1349"/>
      <c r="AM49" s="2254" t="s">
        <v>443</v>
      </c>
      <c r="AN49" s="512">
        <f>STRCHECKDATE(V50:AL50)</f>
      </c>
      <c r="AO49" s="501"/>
      <c r="AP49" s="501" t="str">
        <f>IF(T49="","",T49)</f>
        <v/>
      </c>
      <c r="AQ49" s="501"/>
      <c r="AR49" s="501"/>
      <c r="AS49" s="1156">
        <v>21</v>
      </c>
    </row>
    <row customHeight="1" ht="1.05">
      <c r="A50" s="1364" t="s">
        <v>206</v>
      </c>
      <c r="B50" s="1364" t="s">
        <v>207</v>
      </c>
      <c r="C50" s="1364" t="s">
        <v>208</v>
      </c>
      <c r="D50" s="1364" t="s">
        <v>209</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206</v>
      </c>
      <c r="B51" s="1364" t="s">
        <v>207</v>
      </c>
      <c r="C51" s="1364" t="s">
        <v>208</v>
      </c>
      <c r="D51" s="1364" t="s">
        <v>209</v>
      </c>
      <c r="E51" s="2260"/>
      <c r="F51" s="2260"/>
      <c r="G51" s="2260"/>
      <c r="H51" s="2260"/>
      <c r="I51" s="2287"/>
      <c r="J51" s="2257"/>
      <c r="K51" s="1364"/>
      <c r="L51" s="1365"/>
      <c r="P51" s="2258"/>
      <c r="Q51" s="2258"/>
      <c r="R51" s="357"/>
      <c r="S51" s="1279"/>
      <c r="T51" s="289" t="s">
        <v>444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206</v>
      </c>
      <c r="B52" s="1364" t="s">
        <v>207</v>
      </c>
      <c r="C52" s="1364" t="s">
        <v>208</v>
      </c>
      <c r="D52" s="1364" t="s">
        <v>209</v>
      </c>
      <c r="E52" s="2260"/>
      <c r="F52" s="2260"/>
      <c r="G52" s="2260"/>
      <c r="H52" s="2260"/>
      <c r="I52" s="2257"/>
      <c r="J52" s="1364"/>
      <c r="K52" s="1364"/>
      <c r="L52" s="1365"/>
      <c r="P52" s="2258"/>
      <c r="Q52" s="1332"/>
      <c r="R52" s="357"/>
      <c r="S52" s="1279"/>
      <c r="T52" s="288" t="s">
        <v>445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206</v>
      </c>
      <c r="B53" s="1364" t="s">
        <v>207</v>
      </c>
      <c r="C53" s="1364" t="s">
        <v>208</v>
      </c>
      <c r="D53" s="1364" t="s">
        <v>209</v>
      </c>
      <c r="E53" s="2260"/>
      <c r="F53" s="2260"/>
      <c r="G53" s="2260"/>
      <c r="H53" s="2259"/>
      <c r="I53" s="1364"/>
      <c r="J53" s="1364"/>
      <c r="K53" s="1364"/>
      <c r="L53" s="1365"/>
      <c r="M53" s="1366"/>
      <c r="N53" s="1366"/>
      <c r="O53" s="538"/>
      <c r="P53" s="361"/>
      <c r="Q53" s="376"/>
      <c r="R53" s="356"/>
      <c r="S53" s="1279"/>
      <c r="T53" s="366" t="s">
        <v>446</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206</v>
      </c>
      <c r="B54" s="1344" t="s">
        <v>207</v>
      </c>
      <c r="C54" s="1344" t="s">
        <v>208</v>
      </c>
      <c r="D54" s="1315"/>
      <c r="E54" s="2260"/>
      <c r="F54" s="2260"/>
      <c r="G54" s="2259"/>
      <c r="H54" s="1315"/>
      <c r="I54" s="1315"/>
      <c r="J54" s="1315"/>
      <c r="K54" s="1315"/>
      <c r="L54" s="1340"/>
      <c r="M54" s="1316"/>
      <c r="N54" s="1316"/>
      <c r="P54" s="1317"/>
      <c r="Q54" s="1318"/>
      <c r="R54" s="1317"/>
      <c r="S54" s="1323"/>
      <c r="T54" s="1326" t="s">
        <v>218</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206</v>
      </c>
      <c r="B55" s="1344" t="s">
        <v>207</v>
      </c>
      <c r="C55" s="1315"/>
      <c r="D55" s="1315"/>
      <c r="E55" s="2260"/>
      <c r="F55" s="2259"/>
      <c r="G55" s="1315"/>
      <c r="H55" s="1315"/>
      <c r="I55" s="1315"/>
      <c r="J55" s="1315"/>
      <c r="K55" s="1315"/>
      <c r="L55" s="1340"/>
      <c r="M55" s="1322"/>
      <c r="N55" s="1322"/>
      <c r="P55" s="1317"/>
      <c r="Q55" s="1318"/>
      <c r="R55" s="1317"/>
      <c r="S55" s="1323"/>
      <c r="T55" s="1326" t="s">
        <v>219</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206</v>
      </c>
      <c r="B56" s="1344"/>
      <c r="C56" s="1344"/>
      <c r="D56" s="1344"/>
      <c r="E56" s="2259"/>
      <c r="F56" s="1344"/>
      <c r="G56" s="1344"/>
      <c r="H56" s="1344"/>
      <c r="I56" s="1344"/>
      <c r="J56" s="1344"/>
      <c r="K56" s="1344"/>
      <c r="L56" s="1347"/>
      <c r="M56" s="1322"/>
      <c r="N56" s="1322"/>
      <c r="O56" s="519"/>
      <c r="P56" s="381"/>
      <c r="Q56" s="1345"/>
      <c r="R56" s="381"/>
      <c r="S56" s="1323"/>
      <c r="T56" s="1326" t="s">
        <v>227</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236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85</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1911B8-0266-DCE8-5A88-C74D302E0B3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137</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429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430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431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432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433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434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435</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436</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439</v>
      </c>
      <c r="M7" s="538"/>
      <c r="N7" s="1367"/>
      <c r="P7" s="2258"/>
      <c r="Q7" s="2258">
        <v>1</v>
      </c>
      <c r="R7" s="358"/>
      <c r="S7" s="1337">
        <f>$J7</f>
      </c>
      <c r="T7" s="287" t="s">
        <v>440</v>
      </c>
      <c r="U7" s="301"/>
      <c r="V7" s="2246"/>
      <c r="W7" s="2247"/>
      <c r="X7" s="2247"/>
      <c r="Y7" s="2247"/>
      <c r="Z7" s="2247"/>
      <c r="AA7" s="2247"/>
      <c r="AB7" s="2247"/>
      <c r="AC7" s="2248"/>
      <c r="AD7" s="2246"/>
      <c r="AE7" s="2247"/>
      <c r="AF7" s="2247"/>
      <c r="AG7" s="2247"/>
      <c r="AH7" s="2247"/>
      <c r="AI7" s="2247"/>
      <c r="AJ7" s="2247"/>
      <c r="AK7" s="2247"/>
      <c r="AL7" s="2248"/>
      <c r="AM7" s="1259" t="s">
        <v>441</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442</v>
      </c>
      <c r="M8" s="538"/>
      <c r="N8" s="1367"/>
      <c r="O8" s="1367"/>
      <c r="P8" s="2258"/>
      <c r="Q8" s="2258"/>
      <c r="R8" s="358">
        <v>1</v>
      </c>
      <c r="S8" s="1337">
        <f>$K8</f>
      </c>
      <c r="T8" s="1348"/>
      <c r="U8" s="301"/>
      <c r="V8" s="752"/>
      <c r="W8" s="326"/>
      <c r="X8" s="752"/>
      <c r="Y8" s="1258"/>
      <c r="Z8" s="2266"/>
      <c r="AA8" s="2108" t="s">
        <v>64</v>
      </c>
      <c r="AB8" s="2266"/>
      <c r="AC8" s="2108" t="s">
        <v>64</v>
      </c>
      <c r="AD8" s="752"/>
      <c r="AE8" s="326"/>
      <c r="AF8" s="752"/>
      <c r="AG8" s="1258"/>
      <c r="AH8" s="2266"/>
      <c r="AI8" s="2108" t="s">
        <v>64</v>
      </c>
      <c r="AJ8" s="2266"/>
      <c r="AK8" s="2108" t="s">
        <v>64</v>
      </c>
      <c r="AL8" s="326"/>
      <c r="AM8" s="2254" t="s">
        <v>443</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444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445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218</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219</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227</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64</v>
      </c>
      <c r="AJ17" s="2268"/>
      <c r="AK17" s="2269" t="s">
        <v>64</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447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448</v>
      </c>
      <c r="P22" s="1363"/>
      <c r="Q22" s="1372"/>
      <c r="R22" s="1372"/>
      <c r="S22" s="730"/>
      <c r="T22" s="1161" t="s">
        <v>449</v>
      </c>
      <c r="AA22" s="187" t="s">
        <v>450</v>
      </c>
      <c r="AC22" s="187" t="s">
        <v>451</v>
      </c>
      <c r="AD22" s="1161" t="s">
        <v>449</v>
      </c>
      <c r="AI22" s="187" t="s">
        <v>452</v>
      </c>
      <c r="AK22" s="187" t="s">
        <v>451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КГУП "Примтеплоэнерго"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Агентство по тарифам Приморского края</v>
      </c>
      <c r="W29" s="2252"/>
      <c r="X29" s="2252"/>
      <c r="Y29" s="2252"/>
      <c r="Z29" s="2252"/>
      <c r="AA29" s="2252"/>
      <c r="AB29" s="2252"/>
      <c r="AC29" s="327"/>
      <c r="AD29" s="2252" t="str">
        <f>IF(TITLE_NAME_OR_PR_CHANGE="",IF(TITLE_NAME_OR_PR="","",TITLE_NAME_OR_PR),TITLE_NAME_OR_PR_CHANGE)</f>
        <v>Агентство по тарифам Приморского края</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453</v>
      </c>
      <c r="T30" s="2251"/>
      <c r="U30" s="1373"/>
      <c r="V30" s="2265" t="str">
        <f>IF(TITLE_DATE_PR_CHANGE="",IF(TITLE_DATE_PR="","",TITLE_DATE_PR),TITLE_DATE_PR_CHANGE)</f>
        <v>45777.43633101852</v>
      </c>
      <c r="W30" s="2265"/>
      <c r="X30" s="2265"/>
      <c r="Y30" s="2265"/>
      <c r="Z30" s="2265"/>
      <c r="AA30" s="2265"/>
      <c r="AB30" s="2265"/>
      <c r="AC30" s="327"/>
      <c r="AD30" s="2265" t="str">
        <f>IF(TITLE_DATE_PR_CHANGE="",IF(TITLE_DATE_PR="","",TITLE_DATE_PR),TITLE_DATE_PR_CHANGE)</f>
        <v>45777.43633101852</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454</v>
      </c>
      <c r="T31" s="2251"/>
      <c r="U31" s="1373"/>
      <c r="V31" s="2252" t="str">
        <f>IF(TITLE_NUMBER_PR_CHANGE="",IF(TITLE_NUMBER_PR="","",TITLE_NUMBER_PR),TITLE_NUMBER_PR_CHANGE)</f>
        <v>17-1</v>
      </c>
      <c r="W31" s="2252"/>
      <c r="X31" s="2252"/>
      <c r="Y31" s="2252"/>
      <c r="Z31" s="2252"/>
      <c r="AA31" s="2252"/>
      <c r="AB31" s="2252"/>
      <c r="AC31" s="327"/>
      <c r="AD31" s="2252" t="str">
        <f>IF(TITLE_NUMBER_PR_CHANGE="",IF(TITLE_NUMBER_PR="","",TITLE_NUMBER_PR),TITLE_NUMBER_PR_CHANGE)</f>
        <v>17-1</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http://pravo.gov.ru</v>
      </c>
      <c r="W32" s="2252"/>
      <c r="X32" s="2252"/>
      <c r="Y32" s="2252"/>
      <c r="Z32" s="2252"/>
      <c r="AA32" s="2252"/>
      <c r="AB32" s="2252"/>
      <c r="AC32" s="327"/>
      <c r="AD32" s="2252" t="str">
        <f>IF(TITLE_IST_PUB_CHANGE="",IF(TITLE_IST_PUB="","",TITLE_IST_PUB),TITLE_IST_PUB_CHANGE)</f>
        <v>http://pravo.gov.ru</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455</v>
      </c>
      <c r="T34" s="2251"/>
      <c r="U34" s="1373"/>
      <c r="V34" s="2265" t="str">
        <f>IF(TITLE_DATE_PR_CHANGE="",IF(TITLE_DATE_PR="","",TITLE_DATE_PR),TITLE_DATE_PR_CHANGE)</f>
        <v>45777.43633101852</v>
      </c>
      <c r="W34" s="2265"/>
      <c r="X34" s="2265"/>
      <c r="Y34" s="2265"/>
      <c r="Z34" s="2265"/>
      <c r="AA34" s="2265"/>
      <c r="AB34" s="2265"/>
      <c r="AC34" s="327"/>
      <c r="AD34" s="2265" t="str">
        <f>IF(TITLE_DATE_PR_CHANGE="",IF(TITLE_DATE_PR="","",TITLE_DATE_PR),TITLE_DATE_PR_CHANGE)</f>
        <v>45777.43633101852</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456</v>
      </c>
      <c r="T35" s="2251"/>
      <c r="U35" s="1373"/>
      <c r="V35" s="2252" t="str">
        <f>IF(TITLE_NUMBER_PR_CHANGE="",IF(TITLE_NUMBER_PR="","",TITLE_NUMBER_PR),TITLE_NUMBER_PR_CHANGE)</f>
        <v>17-1</v>
      </c>
      <c r="W35" s="2252"/>
      <c r="X35" s="2252"/>
      <c r="Y35" s="2252"/>
      <c r="Z35" s="2252"/>
      <c r="AA35" s="2252"/>
      <c r="AB35" s="2252"/>
      <c r="AC35" s="327"/>
      <c r="AD35" s="2252" t="str">
        <f>IF(TITLE_NUMBER_PR_CHANGE="",IF(TITLE_NUMBER_PR="","",TITLE_NUMBER_PR),TITLE_NUMBER_PR_CHANGE)</f>
        <v>17-1</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457</v>
      </c>
      <c r="AD36" s="327"/>
      <c r="AE36" s="327"/>
      <c r="AF36" s="327"/>
      <c r="AG36" s="327"/>
      <c r="AH36" s="327"/>
      <c r="AI36" s="327"/>
      <c r="AJ36" s="327"/>
      <c r="AK36" s="279" t="s">
        <v>457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333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334</v>
      </c>
      <c r="AS38" s="1156">
        <v>14</v>
      </c>
    </row>
    <row customHeight="1" ht="14.699999999999998">
      <c r="Q39" s="377"/>
      <c r="R39" s="377"/>
      <c r="S39" s="2274" t="s">
        <v>91</v>
      </c>
      <c r="T39" s="2210" t="s">
        <v>458</v>
      </c>
      <c r="U39" s="302"/>
      <c r="V39" s="2275" t="s">
        <v>459</v>
      </c>
      <c r="W39" s="2276"/>
      <c r="X39" s="2276"/>
      <c r="Y39" s="2276"/>
      <c r="Z39" s="2276"/>
      <c r="AA39" s="2276"/>
      <c r="AB39" s="2277"/>
      <c r="AC39" s="2278" t="s">
        <v>460</v>
      </c>
      <c r="AD39" s="2275" t="s">
        <v>459</v>
      </c>
      <c r="AE39" s="2276"/>
      <c r="AF39" s="2276"/>
      <c r="AG39" s="2276"/>
      <c r="AH39" s="2276"/>
      <c r="AI39" s="2276"/>
      <c r="AJ39" s="2277"/>
      <c r="AK39" s="2278" t="s">
        <v>461</v>
      </c>
      <c r="AL39" s="2281" t="s">
        <v>462</v>
      </c>
      <c r="AM39" s="2128"/>
      <c r="AS39" s="1156">
        <v>14</v>
      </c>
    </row>
    <row customHeight="1" ht="35.699999999999996">
      <c r="Q40" s="377"/>
      <c r="R40" s="377"/>
      <c r="S40" s="2274"/>
      <c r="T40" s="2210"/>
      <c r="U40" s="1032"/>
      <c r="V40" s="2261" t="s">
        <v>463</v>
      </c>
      <c r="W40" s="2284"/>
      <c r="X40" s="2263" t="s">
        <v>465</v>
      </c>
      <c r="Y40" s="2264"/>
      <c r="Z40" s="2263" t="s">
        <v>466</v>
      </c>
      <c r="AA40" s="2270"/>
      <c r="AB40" s="2264"/>
      <c r="AC40" s="2279"/>
      <c r="AD40" s="2261" t="s">
        <v>479</v>
      </c>
      <c r="AE40" s="2284"/>
      <c r="AF40" s="2263" t="s">
        <v>465</v>
      </c>
      <c r="AG40" s="2264"/>
      <c r="AH40" s="2263" t="s">
        <v>466</v>
      </c>
      <c r="AI40" s="2270"/>
      <c r="AJ40" s="2264"/>
      <c r="AK40" s="2279"/>
      <c r="AL40" s="2282"/>
      <c r="AM40" s="2128"/>
      <c r="AS40" s="1156">
        <v>34</v>
      </c>
    </row>
    <row customHeight="1" ht="35.699999999999996">
      <c r="A41" s="1371"/>
      <c r="B41" s="1371" t="s">
        <v>149</v>
      </c>
      <c r="C41" s="1371" t="s">
        <v>150</v>
      </c>
      <c r="D41" s="1371" t="s">
        <v>151</v>
      </c>
      <c r="E41" s="1365" t="s">
        <v>467</v>
      </c>
      <c r="F41" s="1365" t="s">
        <v>468</v>
      </c>
      <c r="G41" s="1365" t="s">
        <v>469</v>
      </c>
      <c r="H41" s="1365" t="s">
        <v>470</v>
      </c>
      <c r="I41" s="1365" t="s">
        <v>471</v>
      </c>
      <c r="J41" s="1365" t="s">
        <v>472</v>
      </c>
      <c r="K41" s="1365" t="s">
        <v>473</v>
      </c>
      <c r="L41" s="1365" t="s">
        <v>448</v>
      </c>
      <c r="Q41" s="377"/>
      <c r="R41" s="377"/>
      <c r="S41" s="2274"/>
      <c r="T41" s="2210"/>
      <c r="U41" s="303"/>
      <c r="V41" s="2262"/>
      <c r="W41" s="2285"/>
      <c r="X41" s="1223" t="s">
        <v>474</v>
      </c>
      <c r="Y41" s="1223" t="s">
        <v>475</v>
      </c>
      <c r="Z41" s="1339" t="s">
        <v>476</v>
      </c>
      <c r="AA41" s="2271" t="s">
        <v>477</v>
      </c>
      <c r="AB41" s="2272"/>
      <c r="AC41" s="2280"/>
      <c r="AD41" s="2262"/>
      <c r="AE41" s="2285"/>
      <c r="AF41" s="1223" t="s">
        <v>474</v>
      </c>
      <c r="AG41" s="1223" t="s">
        <v>475</v>
      </c>
      <c r="AH41" s="1339" t="s">
        <v>476</v>
      </c>
      <c r="AI41" s="2271" t="s">
        <v>477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124</v>
      </c>
      <c r="T42" s="1256" t="s">
        <v>107</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137</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182</v>
      </c>
      <c r="B44" s="1364" t="s">
        <v>183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430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431</v>
      </c>
      <c r="AO44" s="501"/>
      <c r="AP44" s="501" t="str">
        <f>IF(T44="","",T44)</f>
        <v>Территория действия тарифа</v>
      </c>
      <c r="AQ44" s="501"/>
      <c r="AR44" s="501"/>
      <c r="AS44" s="1156">
        <v>21</v>
      </c>
    </row>
    <row customHeight="1" ht="24">
      <c r="A45" s="1364" t="s">
        <v>182</v>
      </c>
      <c r="B45" s="1364" t="s">
        <v>183</v>
      </c>
      <c r="C45" s="1364" t="s">
        <v>184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432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433</v>
      </c>
      <c r="AO45" s="501"/>
      <c r="AP45" s="501" t="str">
        <f>IF(T45="","",T45)</f>
        <v>Наименование системы теплоснабжения </v>
      </c>
      <c r="AQ45" s="501"/>
      <c r="AR45" s="501"/>
      <c r="AS45" s="1156">
        <v>23</v>
      </c>
    </row>
    <row customHeight="1" ht="22.049999999999997">
      <c r="A46" s="1364" t="s">
        <v>182</v>
      </c>
      <c r="B46" s="1364" t="s">
        <v>183</v>
      </c>
      <c r="C46" s="1364" t="s">
        <v>184</v>
      </c>
      <c r="D46" s="1364" t="s">
        <v>185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434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435</v>
      </c>
      <c r="AO46" s="501"/>
      <c r="AP46" s="501" t="str">
        <f>IF(T46="","",T46)</f>
        <v>Источник тепловой энергии  </v>
      </c>
      <c r="AQ46" s="501"/>
      <c r="AR46" s="501"/>
      <c r="AS46" s="1156">
        <v>21</v>
      </c>
    </row>
    <row s="1643" customFormat="1" customHeight="1" ht="0">
      <c r="A47" s="1344" t="s">
        <v>182</v>
      </c>
      <c r="B47" s="1344" t="s">
        <v>183</v>
      </c>
      <c r="C47" s="1344" t="s">
        <v>184</v>
      </c>
      <c r="D47" s="1344" t="s">
        <v>185</v>
      </c>
      <c r="E47" s="2260"/>
      <c r="F47" s="2260"/>
      <c r="G47" s="2260"/>
      <c r="H47" s="2260"/>
      <c r="I47" s="2257" t="str">
        <f>S46&amp;".1"</f>
        <v>....1</v>
      </c>
      <c r="J47" s="1344"/>
      <c r="K47" s="1344"/>
      <c r="L47" s="1347" t="s">
        <v>436</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182</v>
      </c>
      <c r="B48" s="1364" t="s">
        <v>183</v>
      </c>
      <c r="C48" s="1364" t="s">
        <v>184</v>
      </c>
      <c r="D48" s="1364" t="s">
        <v>185</v>
      </c>
      <c r="E48" s="2260"/>
      <c r="F48" s="2260"/>
      <c r="G48" s="2260"/>
      <c r="H48" s="2260"/>
      <c r="I48" s="2287"/>
      <c r="J48" s="2257" t="str">
        <f>S46&amp;".1"</f>
        <v>....1</v>
      </c>
      <c r="K48" s="1364"/>
      <c r="L48" s="1365" t="s">
        <v>439</v>
      </c>
      <c r="P48" s="2258"/>
      <c r="Q48" s="2258">
        <v>1</v>
      </c>
      <c r="R48" s="358"/>
      <c r="S48" s="1337" t="str">
        <f>$J48</f>
        <v>....1</v>
      </c>
      <c r="T48" s="287" t="s">
        <v>440</v>
      </c>
      <c r="U48" s="301"/>
      <c r="V48" s="2246"/>
      <c r="W48" s="2247"/>
      <c r="X48" s="2247"/>
      <c r="Y48" s="2247"/>
      <c r="Z48" s="2247"/>
      <c r="AA48" s="2247"/>
      <c r="AB48" s="2247"/>
      <c r="AC48" s="2248"/>
      <c r="AD48" s="2246"/>
      <c r="AE48" s="2247"/>
      <c r="AF48" s="2247"/>
      <c r="AG48" s="2247"/>
      <c r="AH48" s="2247"/>
      <c r="AI48" s="2247"/>
      <c r="AJ48" s="2247"/>
      <c r="AK48" s="2247"/>
      <c r="AL48" s="2248"/>
      <c r="AM48" s="1259" t="s">
        <v>441</v>
      </c>
      <c r="AO48" s="501"/>
      <c r="AP48" s="501" t="str">
        <f>IF(T48="","",T48)</f>
        <v>Группа потребителей</v>
      </c>
      <c r="AQ48" s="501"/>
      <c r="AR48" s="501"/>
      <c r="AS48" s="1156">
        <v>21</v>
      </c>
    </row>
    <row customHeight="1" ht="22.049999999999997">
      <c r="A49" s="1364" t="s">
        <v>182</v>
      </c>
      <c r="B49" s="1364" t="s">
        <v>183</v>
      </c>
      <c r="C49" s="1364" t="s">
        <v>184</v>
      </c>
      <c r="D49" s="1364" t="s">
        <v>185</v>
      </c>
      <c r="E49" s="2260"/>
      <c r="F49" s="2260"/>
      <c r="G49" s="2260"/>
      <c r="H49" s="2260"/>
      <c r="I49" s="2287"/>
      <c r="J49" s="2287"/>
      <c r="K49" s="2257" t="str">
        <f>J48&amp;".1"</f>
        <v>....1.1</v>
      </c>
      <c r="L49" s="1365" t="s">
        <v>442</v>
      </c>
      <c r="P49" s="2258"/>
      <c r="Q49" s="2258"/>
      <c r="R49" s="358">
        <v>1</v>
      </c>
      <c r="S49" s="1337" t="str">
        <f>$K49</f>
        <v>....1.1</v>
      </c>
      <c r="T49" s="1348"/>
      <c r="U49" s="301"/>
      <c r="V49" s="752"/>
      <c r="W49" s="326"/>
      <c r="X49" s="752"/>
      <c r="Y49" s="1258"/>
      <c r="Z49" s="2266"/>
      <c r="AA49" s="2108" t="s">
        <v>64</v>
      </c>
      <c r="AB49" s="2266"/>
      <c r="AC49" s="2108" t="s">
        <v>64</v>
      </c>
      <c r="AD49" s="752"/>
      <c r="AE49" s="326"/>
      <c r="AF49" s="752"/>
      <c r="AG49" s="1258"/>
      <c r="AH49" s="2266"/>
      <c r="AI49" s="2108" t="s">
        <v>64</v>
      </c>
      <c r="AJ49" s="2288"/>
      <c r="AK49" s="2108" t="s">
        <v>64</v>
      </c>
      <c r="AL49" s="1349"/>
      <c r="AM49" s="2254" t="s">
        <v>480</v>
      </c>
      <c r="AN49" s="512">
        <f>STRCHECKDATE(V50:AL50)</f>
      </c>
      <c r="AO49" s="501"/>
      <c r="AP49" s="501" t="str">
        <f>IF(T49="","",T49)</f>
        <v/>
      </c>
      <c r="AQ49" s="501"/>
      <c r="AR49" s="501"/>
      <c r="AS49" s="1156">
        <v>21</v>
      </c>
    </row>
    <row customHeight="1" ht="1.05">
      <c r="A50" s="1364" t="s">
        <v>182</v>
      </c>
      <c r="B50" s="1364" t="s">
        <v>183</v>
      </c>
      <c r="C50" s="1364" t="s">
        <v>184</v>
      </c>
      <c r="D50" s="1364" t="s">
        <v>185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182</v>
      </c>
      <c r="B51" s="1364" t="s">
        <v>183</v>
      </c>
      <c r="C51" s="1364" t="s">
        <v>184</v>
      </c>
      <c r="D51" s="1364" t="s">
        <v>185</v>
      </c>
      <c r="E51" s="2260"/>
      <c r="F51" s="2260"/>
      <c r="G51" s="2260"/>
      <c r="H51" s="2260"/>
      <c r="I51" s="2287"/>
      <c r="J51" s="2257"/>
      <c r="K51" s="1364"/>
      <c r="L51" s="1365"/>
      <c r="P51" s="2258"/>
      <c r="Q51" s="2258"/>
      <c r="R51" s="357"/>
      <c r="S51" s="1279"/>
      <c r="T51" s="288" t="s">
        <v>444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182</v>
      </c>
      <c r="B52" s="1364" t="s">
        <v>183</v>
      </c>
      <c r="C52" s="1364" t="s">
        <v>184</v>
      </c>
      <c r="D52" s="1364" t="s">
        <v>185</v>
      </c>
      <c r="E52" s="2260"/>
      <c r="F52" s="2260"/>
      <c r="G52" s="2260"/>
      <c r="H52" s="2260"/>
      <c r="I52" s="2257"/>
      <c r="J52" s="1364"/>
      <c r="K52" s="1364"/>
      <c r="L52" s="1365"/>
      <c r="P52" s="2258"/>
      <c r="Q52" s="1332"/>
      <c r="R52" s="357"/>
      <c r="S52" s="1279"/>
      <c r="T52" s="366" t="s">
        <v>445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182</v>
      </c>
      <c r="B53" s="1364" t="s">
        <v>183</v>
      </c>
      <c r="C53" s="1364" t="s">
        <v>184</v>
      </c>
      <c r="D53" s="1364" t="s">
        <v>185</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182</v>
      </c>
      <c r="B54" s="1344" t="s">
        <v>183</v>
      </c>
      <c r="C54" s="1344" t="s">
        <v>184</v>
      </c>
      <c r="D54" s="1315"/>
      <c r="E54" s="2260"/>
      <c r="F54" s="2260"/>
      <c r="G54" s="2259"/>
      <c r="H54" s="1315"/>
      <c r="I54" s="1315"/>
      <c r="J54" s="1315"/>
      <c r="K54" s="1315"/>
      <c r="L54" s="1340"/>
      <c r="M54" s="1316"/>
      <c r="N54" s="1316"/>
      <c r="P54" s="1317"/>
      <c r="Q54" s="1318"/>
      <c r="R54" s="1317"/>
      <c r="S54" s="1323"/>
      <c r="T54" s="1326" t="s">
        <v>218</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182</v>
      </c>
      <c r="B55" s="1344" t="s">
        <v>183</v>
      </c>
      <c r="C55" s="1315"/>
      <c r="D55" s="1315"/>
      <c r="E55" s="2260"/>
      <c r="F55" s="2259"/>
      <c r="G55" s="1315"/>
      <c r="H55" s="1315"/>
      <c r="I55" s="1315"/>
      <c r="J55" s="1315"/>
      <c r="K55" s="1315"/>
      <c r="L55" s="1340"/>
      <c r="M55" s="1322"/>
      <c r="N55" s="1322"/>
      <c r="P55" s="1317"/>
      <c r="Q55" s="1318"/>
      <c r="R55" s="1317"/>
      <c r="S55" s="1323"/>
      <c r="T55" s="1326" t="s">
        <v>219</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182</v>
      </c>
      <c r="B56" s="1344"/>
      <c r="C56" s="1344"/>
      <c r="D56" s="1344"/>
      <c r="E56" s="2259"/>
      <c r="F56" s="1344"/>
      <c r="G56" s="1344"/>
      <c r="H56" s="1344"/>
      <c r="I56" s="1344"/>
      <c r="J56" s="1344"/>
      <c r="K56" s="1344"/>
      <c r="L56" s="1347"/>
      <c r="M56" s="1322"/>
      <c r="N56" s="1322"/>
      <c r="O56" s="519"/>
      <c r="P56" s="381"/>
      <c r="Q56" s="1345"/>
      <c r="R56" s="381"/>
      <c r="S56" s="1323"/>
      <c r="T56" s="1326" t="s">
        <v>227</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236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85</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FAD0FD-311B-9A38-5168-6BF427EA70C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137</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429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430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431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432</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433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434</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435</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436</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439</v>
      </c>
      <c r="M7" s="538"/>
      <c r="N7" s="1367"/>
      <c r="P7" s="2258"/>
      <c r="Q7" s="2258">
        <v>1</v>
      </c>
      <c r="R7" s="1643"/>
      <c r="S7" s="2008">
        <f>$J7</f>
      </c>
      <c r="T7" s="287" t="s">
        <v>440</v>
      </c>
      <c r="U7" s="301"/>
      <c r="V7" s="2306"/>
      <c r="W7" s="2306"/>
      <c r="X7" s="2306"/>
      <c r="Y7" s="2306"/>
      <c r="Z7" s="2306"/>
      <c r="AA7" s="2306"/>
      <c r="AB7" s="2306"/>
      <c r="AC7" s="2306"/>
      <c r="AD7" s="2306"/>
      <c r="AE7" s="2306"/>
      <c r="AF7" s="2306"/>
      <c r="AG7" s="2306"/>
      <c r="AH7" s="2306"/>
      <c r="AI7" s="2306"/>
      <c r="AJ7" s="2306"/>
      <c r="AK7" s="2306"/>
      <c r="AL7" s="2306"/>
      <c r="AM7" s="2011" t="s">
        <v>441</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442</v>
      </c>
      <c r="M8" s="538"/>
      <c r="N8" s="1367"/>
      <c r="O8" s="1367"/>
      <c r="P8" s="2258"/>
      <c r="Q8" s="2258"/>
      <c r="R8" s="358">
        <v>1</v>
      </c>
      <c r="S8" s="2010">
        <f>$K8</f>
      </c>
      <c r="T8" s="2015"/>
      <c r="U8" s="2016"/>
      <c r="V8" s="2017"/>
      <c r="W8" s="1350"/>
      <c r="X8" s="2017"/>
      <c r="Y8" s="2018"/>
      <c r="Z8" s="2307"/>
      <c r="AA8" s="2113" t="s">
        <v>64</v>
      </c>
      <c r="AB8" s="2307"/>
      <c r="AC8" s="2113" t="s">
        <v>64</v>
      </c>
      <c r="AD8" s="2017"/>
      <c r="AE8" s="1350"/>
      <c r="AF8" s="2017"/>
      <c r="AG8" s="2018"/>
      <c r="AH8" s="2307"/>
      <c r="AI8" s="2113" t="s">
        <v>64</v>
      </c>
      <c r="AJ8" s="2307"/>
      <c r="AK8" s="2113" t="s">
        <v>64</v>
      </c>
      <c r="AL8" s="1350"/>
      <c r="AM8" s="2254" t="s">
        <v>443</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444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445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218</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219</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227</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64</v>
      </c>
      <c r="AJ17" s="2268"/>
      <c r="AK17" s="2269" t="s">
        <v>64</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447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448</v>
      </c>
      <c r="P22" s="1363"/>
      <c r="Q22" s="1372"/>
      <c r="R22" s="1372"/>
      <c r="S22" s="730"/>
      <c r="T22" s="1161" t="s">
        <v>449</v>
      </c>
      <c r="AA22" s="187" t="s">
        <v>450</v>
      </c>
      <c r="AC22" s="187" t="s">
        <v>451</v>
      </c>
      <c r="AD22" s="1161" t="s">
        <v>449</v>
      </c>
      <c r="AI22" s="187" t="s">
        <v>452</v>
      </c>
      <c r="AK22" s="187" t="s">
        <v>451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КГУП "Примтеплоэнерго"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Агентство по тарифам Приморского края</v>
      </c>
      <c r="W29" s="2252"/>
      <c r="X29" s="2252"/>
      <c r="Y29" s="2252"/>
      <c r="Z29" s="2252"/>
      <c r="AA29" s="2252"/>
      <c r="AB29" s="2252"/>
      <c r="AC29" s="327"/>
      <c r="AD29" s="2252" t="str">
        <f>IF(TITLE_NAME_OR_PR_CHANGE="",IF(TITLE_NAME_OR_PR="","",TITLE_NAME_OR_PR),TITLE_NAME_OR_PR_CHANGE)</f>
        <v>Агентство по тарифам Приморского края</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453</v>
      </c>
      <c r="T30" s="2251"/>
      <c r="U30" s="1373"/>
      <c r="V30" s="2265" t="str">
        <f>IF(TITLE_DATE_PR_CHANGE="",IF(TITLE_DATE_PR="","",TITLE_DATE_PR),TITLE_DATE_PR_CHANGE)</f>
        <v>45777.43633101852</v>
      </c>
      <c r="W30" s="2265"/>
      <c r="X30" s="2265"/>
      <c r="Y30" s="2265"/>
      <c r="Z30" s="2265"/>
      <c r="AA30" s="2265"/>
      <c r="AB30" s="2265"/>
      <c r="AC30" s="327"/>
      <c r="AD30" s="2265" t="str">
        <f>IF(TITLE_DATE_PR_CHANGE="",IF(TITLE_DATE_PR="","",TITLE_DATE_PR),TITLE_DATE_PR_CHANGE)</f>
        <v>45777.43633101852</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454</v>
      </c>
      <c r="T31" s="2251"/>
      <c r="U31" s="1373"/>
      <c r="V31" s="2252" t="str">
        <f>IF(TITLE_NUMBER_PR_CHANGE="",IF(TITLE_NUMBER_PR="","",TITLE_NUMBER_PR),TITLE_NUMBER_PR_CHANGE)</f>
        <v>17-1</v>
      </c>
      <c r="W31" s="2252"/>
      <c r="X31" s="2252"/>
      <c r="Y31" s="2252"/>
      <c r="Z31" s="2252"/>
      <c r="AA31" s="2252"/>
      <c r="AB31" s="2252"/>
      <c r="AC31" s="327"/>
      <c r="AD31" s="2252" t="str">
        <f>IF(TITLE_NUMBER_PR_CHANGE="",IF(TITLE_NUMBER_PR="","",TITLE_NUMBER_PR),TITLE_NUMBER_PR_CHANGE)</f>
        <v>17-1</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http://pravo.gov.ru</v>
      </c>
      <c r="W32" s="2252"/>
      <c r="X32" s="2252"/>
      <c r="Y32" s="2252"/>
      <c r="Z32" s="2252"/>
      <c r="AA32" s="2252"/>
      <c r="AB32" s="2252"/>
      <c r="AC32" s="327"/>
      <c r="AD32" s="2252" t="str">
        <f>IF(TITLE_IST_PUB_CHANGE="",IF(TITLE_IST_PUB="","",TITLE_IST_PUB),TITLE_IST_PUB_CHANGE)</f>
        <v>http://pravo.gov.ru</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455</v>
      </c>
      <c r="T34" s="2251"/>
      <c r="U34" s="1373"/>
      <c r="V34" s="2265" t="str">
        <f>IF(TITLE_DATE_PR_CHANGE="",IF(TITLE_DATE_PR="","",TITLE_DATE_PR),TITLE_DATE_PR_CHANGE)</f>
        <v>45777.43633101852</v>
      </c>
      <c r="W34" s="2265"/>
      <c r="X34" s="2265"/>
      <c r="Y34" s="2265"/>
      <c r="Z34" s="2265"/>
      <c r="AA34" s="2265"/>
      <c r="AB34" s="2265"/>
      <c r="AC34" s="327"/>
      <c r="AD34" s="2265" t="str">
        <f>IF(TITLE_DATE_PR_CHANGE="",IF(TITLE_DATE_PR="","",TITLE_DATE_PR),TITLE_DATE_PR_CHANGE)</f>
        <v>45777.43633101852</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456</v>
      </c>
      <c r="T35" s="2251"/>
      <c r="U35" s="1373"/>
      <c r="V35" s="2252" t="str">
        <f>IF(TITLE_NUMBER_PR_CHANGE="",IF(TITLE_NUMBER_PR="","",TITLE_NUMBER_PR),TITLE_NUMBER_PR_CHANGE)</f>
        <v>17-1</v>
      </c>
      <c r="W35" s="2252"/>
      <c r="X35" s="2252"/>
      <c r="Y35" s="2252"/>
      <c r="Z35" s="2252"/>
      <c r="AA35" s="2252"/>
      <c r="AB35" s="2252"/>
      <c r="AC35" s="327"/>
      <c r="AD35" s="2252" t="str">
        <f>IF(TITLE_NUMBER_PR_CHANGE="",IF(TITLE_NUMBER_PR="","",TITLE_NUMBER_PR),TITLE_NUMBER_PR_CHANGE)</f>
        <v>17-1</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457</v>
      </c>
      <c r="AD36" s="327"/>
      <c r="AE36" s="327"/>
      <c r="AF36" s="327"/>
      <c r="AG36" s="327"/>
      <c r="AH36" s="327"/>
      <c r="AI36" s="327"/>
      <c r="AJ36" s="327"/>
      <c r="AK36" s="279" t="s">
        <v>457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333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334</v>
      </c>
      <c r="AS38" s="1156">
        <v>14</v>
      </c>
    </row>
    <row customHeight="1" ht="14.699999999999998">
      <c r="Q39" s="377"/>
      <c r="R39" s="377"/>
      <c r="S39" s="2274" t="s">
        <v>91</v>
      </c>
      <c r="T39" s="2210" t="s">
        <v>458</v>
      </c>
      <c r="U39" s="302"/>
      <c r="V39" s="2275" t="s">
        <v>459</v>
      </c>
      <c r="W39" s="2276"/>
      <c r="X39" s="2276"/>
      <c r="Y39" s="2276"/>
      <c r="Z39" s="2276"/>
      <c r="AA39" s="2276"/>
      <c r="AB39" s="2277"/>
      <c r="AC39" s="2278" t="s">
        <v>460</v>
      </c>
      <c r="AD39" s="2275" t="s">
        <v>459</v>
      </c>
      <c r="AE39" s="2276"/>
      <c r="AF39" s="2276"/>
      <c r="AG39" s="2276"/>
      <c r="AH39" s="2276"/>
      <c r="AI39" s="2276"/>
      <c r="AJ39" s="2277"/>
      <c r="AK39" s="2278" t="s">
        <v>461</v>
      </c>
      <c r="AL39" s="2281" t="s">
        <v>462</v>
      </c>
      <c r="AM39" s="2128"/>
      <c r="AS39" s="1156">
        <v>14</v>
      </c>
    </row>
    <row customHeight="1" ht="35.699999999999996">
      <c r="Q40" s="377"/>
      <c r="R40" s="377"/>
      <c r="S40" s="2274"/>
      <c r="T40" s="2210"/>
      <c r="U40" s="1032"/>
      <c r="V40" s="2261" t="s">
        <v>463</v>
      </c>
      <c r="W40" s="2284"/>
      <c r="X40" s="2263" t="s">
        <v>465</v>
      </c>
      <c r="Y40" s="2264"/>
      <c r="Z40" s="2263" t="s">
        <v>466</v>
      </c>
      <c r="AA40" s="2270"/>
      <c r="AB40" s="2264"/>
      <c r="AC40" s="2279"/>
      <c r="AD40" s="2261" t="s">
        <v>479</v>
      </c>
      <c r="AE40" s="2284"/>
      <c r="AF40" s="2263" t="s">
        <v>465</v>
      </c>
      <c r="AG40" s="2264"/>
      <c r="AH40" s="2263" t="s">
        <v>466</v>
      </c>
      <c r="AI40" s="2270"/>
      <c r="AJ40" s="2264"/>
      <c r="AK40" s="2279"/>
      <c r="AL40" s="2282"/>
      <c r="AM40" s="2128"/>
      <c r="AS40" s="1156">
        <v>34</v>
      </c>
    </row>
    <row customHeight="1" ht="35.699999999999996">
      <c r="A41" s="1371"/>
      <c r="B41" s="1371" t="s">
        <v>149</v>
      </c>
      <c r="C41" s="1371" t="s">
        <v>150</v>
      </c>
      <c r="D41" s="1371" t="s">
        <v>151</v>
      </c>
      <c r="E41" s="1365" t="s">
        <v>467</v>
      </c>
      <c r="F41" s="1365" t="s">
        <v>468</v>
      </c>
      <c r="G41" s="1365" t="s">
        <v>469</v>
      </c>
      <c r="H41" s="1365" t="s">
        <v>470</v>
      </c>
      <c r="I41" s="1365" t="s">
        <v>471</v>
      </c>
      <c r="J41" s="1365" t="s">
        <v>472</v>
      </c>
      <c r="K41" s="1365" t="s">
        <v>473</v>
      </c>
      <c r="L41" s="1365" t="s">
        <v>448</v>
      </c>
      <c r="Q41" s="377"/>
      <c r="R41" s="377"/>
      <c r="S41" s="2274"/>
      <c r="T41" s="2210"/>
      <c r="U41" s="303"/>
      <c r="V41" s="2262"/>
      <c r="W41" s="2285"/>
      <c r="X41" s="1223" t="s">
        <v>474</v>
      </c>
      <c r="Y41" s="1223" t="s">
        <v>475</v>
      </c>
      <c r="Z41" s="1339" t="s">
        <v>476</v>
      </c>
      <c r="AA41" s="2271" t="s">
        <v>477</v>
      </c>
      <c r="AB41" s="2272"/>
      <c r="AC41" s="2280"/>
      <c r="AD41" s="2262"/>
      <c r="AE41" s="2285"/>
      <c r="AF41" s="1223" t="s">
        <v>474</v>
      </c>
      <c r="AG41" s="1223" t="s">
        <v>475</v>
      </c>
      <c r="AH41" s="1339" t="s">
        <v>476</v>
      </c>
      <c r="AI41" s="2271" t="s">
        <v>477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124</v>
      </c>
      <c r="T42" s="1256" t="s">
        <v>107</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194</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137</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194</v>
      </c>
      <c r="B44" s="1364" t="s">
        <v>195</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430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431</v>
      </c>
      <c r="AO44" s="501"/>
      <c r="AP44" s="501" t="str">
        <f>IF(T44="","",T44)</f>
        <v>Территория действия тарифа</v>
      </c>
      <c r="AQ44" s="501"/>
      <c r="AR44" s="501"/>
      <c r="AS44" s="1156">
        <v>21</v>
      </c>
    </row>
    <row customHeight="1" ht="24">
      <c r="A45" s="1364" t="s">
        <v>194</v>
      </c>
      <c r="B45" s="1364" t="s">
        <v>195</v>
      </c>
      <c r="C45" s="1364" t="s">
        <v>196</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432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433</v>
      </c>
      <c r="AO45" s="501"/>
      <c r="AP45" s="501" t="str">
        <f>IF(T45="","",T45)</f>
        <v>Наименование системы теплоснабжения </v>
      </c>
      <c r="AQ45" s="501"/>
      <c r="AR45" s="501"/>
      <c r="AS45" s="1156">
        <v>23</v>
      </c>
    </row>
    <row customHeight="1" ht="22.049999999999997">
      <c r="A46" s="1364" t="s">
        <v>194</v>
      </c>
      <c r="B46" s="1364" t="s">
        <v>195</v>
      </c>
      <c r="C46" s="1364" t="s">
        <v>196</v>
      </c>
      <c r="D46" s="1364" t="s">
        <v>197</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434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435</v>
      </c>
      <c r="AO46" s="501"/>
      <c r="AP46" s="501" t="str">
        <f>IF(T46="","",T46)</f>
        <v>Источник тепловой энергии  </v>
      </c>
      <c r="AQ46" s="501"/>
      <c r="AR46" s="501"/>
      <c r="AS46" s="1156">
        <v>21</v>
      </c>
    </row>
    <row s="1643" customFormat="1" customHeight="1" ht="0">
      <c r="A47" s="1344" t="s">
        <v>194</v>
      </c>
      <c r="B47" s="1344" t="s">
        <v>195</v>
      </c>
      <c r="C47" s="1344" t="s">
        <v>196</v>
      </c>
      <c r="D47" s="1344" t="s">
        <v>197</v>
      </c>
      <c r="E47" s="2260"/>
      <c r="F47" s="2260"/>
      <c r="G47" s="2260"/>
      <c r="H47" s="2260"/>
      <c r="I47" s="2257" t="str">
        <f>S46&amp;".1"</f>
        <v>....1</v>
      </c>
      <c r="J47" s="1344"/>
      <c r="K47" s="1344"/>
      <c r="L47" s="1347" t="s">
        <v>436</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194</v>
      </c>
      <c r="B48" s="1364" t="s">
        <v>195</v>
      </c>
      <c r="C48" s="1364" t="s">
        <v>196</v>
      </c>
      <c r="D48" s="1364" t="s">
        <v>197</v>
      </c>
      <c r="E48" s="2260"/>
      <c r="F48" s="2260"/>
      <c r="G48" s="2260"/>
      <c r="H48" s="2260"/>
      <c r="I48" s="2287"/>
      <c r="J48" s="2257" t="str">
        <f>S46&amp;".1"</f>
        <v>....1</v>
      </c>
      <c r="K48" s="1364"/>
      <c r="L48" s="1365" t="s">
        <v>439</v>
      </c>
      <c r="P48" s="2258"/>
      <c r="Q48" s="2258">
        <v>1</v>
      </c>
      <c r="R48" s="358"/>
      <c r="S48" s="1337" t="str">
        <f>$J48</f>
        <v>....1</v>
      </c>
      <c r="T48" s="287" t="s">
        <v>440</v>
      </c>
      <c r="U48" s="301"/>
      <c r="V48" s="2246"/>
      <c r="W48" s="2247"/>
      <c r="X48" s="2247"/>
      <c r="Y48" s="2247"/>
      <c r="Z48" s="2247"/>
      <c r="AA48" s="2247"/>
      <c r="AB48" s="2247"/>
      <c r="AC48" s="2248"/>
      <c r="AD48" s="2246"/>
      <c r="AE48" s="2247"/>
      <c r="AF48" s="2247"/>
      <c r="AG48" s="2247"/>
      <c r="AH48" s="2247"/>
      <c r="AI48" s="2247"/>
      <c r="AJ48" s="2247"/>
      <c r="AK48" s="2247"/>
      <c r="AL48" s="2248"/>
      <c r="AM48" s="1259" t="s">
        <v>441</v>
      </c>
      <c r="AO48" s="501"/>
      <c r="AP48" s="501" t="str">
        <f>IF(T48="","",T48)</f>
        <v>Группа потребителей</v>
      </c>
      <c r="AQ48" s="501"/>
      <c r="AR48" s="501"/>
      <c r="AS48" s="1156">
        <v>21</v>
      </c>
    </row>
    <row customHeight="1" ht="22.049999999999997">
      <c r="A49" s="1364" t="s">
        <v>194</v>
      </c>
      <c r="B49" s="1364" t="s">
        <v>195</v>
      </c>
      <c r="C49" s="1364" t="s">
        <v>196</v>
      </c>
      <c r="D49" s="1364" t="s">
        <v>197</v>
      </c>
      <c r="E49" s="2260"/>
      <c r="F49" s="2260"/>
      <c r="G49" s="2260"/>
      <c r="H49" s="2260"/>
      <c r="I49" s="2287"/>
      <c r="J49" s="2287"/>
      <c r="K49" s="2257" t="str">
        <f>J48&amp;".1"</f>
        <v>....1.1</v>
      </c>
      <c r="L49" s="1365" t="s">
        <v>442</v>
      </c>
      <c r="P49" s="2258"/>
      <c r="Q49" s="2258"/>
      <c r="R49" s="358">
        <v>1</v>
      </c>
      <c r="S49" s="1337" t="str">
        <f>$K49</f>
        <v>....1.1</v>
      </c>
      <c r="T49" s="1348"/>
      <c r="U49" s="301"/>
      <c r="V49" s="752"/>
      <c r="W49" s="326"/>
      <c r="X49" s="752"/>
      <c r="Y49" s="1258"/>
      <c r="Z49" s="2266"/>
      <c r="AA49" s="2108" t="s">
        <v>64</v>
      </c>
      <c r="AB49" s="2266"/>
      <c r="AC49" s="2108" t="s">
        <v>64</v>
      </c>
      <c r="AD49" s="752"/>
      <c r="AE49" s="326"/>
      <c r="AF49" s="752"/>
      <c r="AG49" s="1258"/>
      <c r="AH49" s="2266"/>
      <c r="AI49" s="2108" t="s">
        <v>64</v>
      </c>
      <c r="AJ49" s="2288"/>
      <c r="AK49" s="2108" t="s">
        <v>64</v>
      </c>
      <c r="AL49" s="1349"/>
      <c r="AM49" s="2254" t="s">
        <v>480</v>
      </c>
      <c r="AN49" s="512">
        <f>STRCHECKDATE(V50:AL50)</f>
      </c>
      <c r="AO49" s="501"/>
      <c r="AP49" s="501" t="str">
        <f>IF(T49="","",T49)</f>
        <v/>
      </c>
      <c r="AQ49" s="501"/>
      <c r="AR49" s="501"/>
      <c r="AS49" s="1156">
        <v>21</v>
      </c>
    </row>
    <row customHeight="1" ht="1.05">
      <c r="A50" s="1364" t="s">
        <v>194</v>
      </c>
      <c r="B50" s="1364" t="s">
        <v>195</v>
      </c>
      <c r="C50" s="1364" t="s">
        <v>196</v>
      </c>
      <c r="D50" s="1364" t="s">
        <v>197</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194</v>
      </c>
      <c r="B51" s="1364" t="s">
        <v>195</v>
      </c>
      <c r="C51" s="1364" t="s">
        <v>196</v>
      </c>
      <c r="D51" s="1364" t="s">
        <v>197</v>
      </c>
      <c r="E51" s="2260"/>
      <c r="F51" s="2260"/>
      <c r="G51" s="2260"/>
      <c r="H51" s="2260"/>
      <c r="I51" s="2287"/>
      <c r="J51" s="2257"/>
      <c r="K51" s="1364"/>
      <c r="L51" s="1365"/>
      <c r="P51" s="2258"/>
      <c r="Q51" s="2258"/>
      <c r="R51" s="357"/>
      <c r="S51" s="1279"/>
      <c r="T51" s="288" t="s">
        <v>444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194</v>
      </c>
      <c r="B52" s="1364" t="s">
        <v>195</v>
      </c>
      <c r="C52" s="1364" t="s">
        <v>196</v>
      </c>
      <c r="D52" s="1364" t="s">
        <v>197</v>
      </c>
      <c r="E52" s="2260"/>
      <c r="F52" s="2260"/>
      <c r="G52" s="2260"/>
      <c r="H52" s="2260"/>
      <c r="I52" s="2257"/>
      <c r="J52" s="1364"/>
      <c r="K52" s="1364"/>
      <c r="L52" s="1365"/>
      <c r="P52" s="2258"/>
      <c r="Q52" s="1332"/>
      <c r="R52" s="357"/>
      <c r="S52" s="1279"/>
      <c r="T52" s="366" t="s">
        <v>445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194</v>
      </c>
      <c r="B53" s="1364" t="s">
        <v>195</v>
      </c>
      <c r="C53" s="1364" t="s">
        <v>196</v>
      </c>
      <c r="D53" s="1364" t="s">
        <v>197</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194</v>
      </c>
      <c r="B54" s="1344" t="s">
        <v>195</v>
      </c>
      <c r="C54" s="1344" t="s">
        <v>196</v>
      </c>
      <c r="D54" s="1315"/>
      <c r="E54" s="2260"/>
      <c r="F54" s="2260"/>
      <c r="G54" s="2259"/>
      <c r="H54" s="1315"/>
      <c r="I54" s="1315"/>
      <c r="J54" s="1315"/>
      <c r="K54" s="1315"/>
      <c r="L54" s="1340"/>
      <c r="M54" s="1316"/>
      <c r="N54" s="1316"/>
      <c r="P54" s="1317"/>
      <c r="Q54" s="1318"/>
      <c r="R54" s="1317"/>
      <c r="S54" s="1323"/>
      <c r="T54" s="1326" t="s">
        <v>218</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194</v>
      </c>
      <c r="B55" s="1344" t="s">
        <v>195</v>
      </c>
      <c r="C55" s="1315"/>
      <c r="D55" s="1315"/>
      <c r="E55" s="2260"/>
      <c r="F55" s="2259"/>
      <c r="G55" s="1315"/>
      <c r="H55" s="1315"/>
      <c r="I55" s="1315"/>
      <c r="J55" s="1315"/>
      <c r="K55" s="1315"/>
      <c r="L55" s="1340"/>
      <c r="M55" s="1322"/>
      <c r="N55" s="1322"/>
      <c r="P55" s="1317"/>
      <c r="Q55" s="1318"/>
      <c r="R55" s="1317"/>
      <c r="S55" s="1323"/>
      <c r="T55" s="1326" t="s">
        <v>219</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194</v>
      </c>
      <c r="B56" s="1344"/>
      <c r="C56" s="1344"/>
      <c r="D56" s="1344"/>
      <c r="E56" s="2259"/>
      <c r="F56" s="1344"/>
      <c r="G56" s="1344"/>
      <c r="H56" s="1344"/>
      <c r="I56" s="1344"/>
      <c r="J56" s="1344"/>
      <c r="K56" s="1344"/>
      <c r="L56" s="1347"/>
      <c r="M56" s="1322"/>
      <c r="N56" s="1322"/>
      <c r="O56" s="519"/>
      <c r="P56" s="381"/>
      <c r="Q56" s="1345"/>
      <c r="R56" s="381"/>
      <c r="S56" s="1323"/>
      <c r="T56" s="1326" t="s">
        <v>227</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236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85</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DF55A8-1BD8-6CCE-ED58-A818A3A03BC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137</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429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430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431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432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433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434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435</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436</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439</v>
      </c>
      <c r="M7" s="538"/>
      <c r="N7" s="1367"/>
      <c r="P7" s="2258"/>
      <c r="Q7" s="2258">
        <v>1</v>
      </c>
      <c r="R7" s="358"/>
      <c r="S7" s="1337">
        <f>$J7</f>
      </c>
      <c r="T7" s="287" t="s">
        <v>440</v>
      </c>
      <c r="U7" s="301"/>
      <c r="V7" s="2246"/>
      <c r="W7" s="2247"/>
      <c r="X7" s="2247"/>
      <c r="Y7" s="2247"/>
      <c r="Z7" s="2247"/>
      <c r="AA7" s="2247"/>
      <c r="AB7" s="2247"/>
      <c r="AC7" s="2248"/>
      <c r="AD7" s="2246"/>
      <c r="AE7" s="2247"/>
      <c r="AF7" s="2247"/>
      <c r="AG7" s="2247"/>
      <c r="AH7" s="2247"/>
      <c r="AI7" s="2247"/>
      <c r="AJ7" s="2247"/>
      <c r="AK7" s="2247"/>
      <c r="AL7" s="2248"/>
      <c r="AM7" s="1259" t="s">
        <v>441</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442</v>
      </c>
      <c r="M8" s="538"/>
      <c r="N8" s="1367"/>
      <c r="O8" s="1367"/>
      <c r="P8" s="2258"/>
      <c r="Q8" s="2258"/>
      <c r="R8" s="358">
        <v>1</v>
      </c>
      <c r="S8" s="1337">
        <f>$K8</f>
      </c>
      <c r="T8" s="1348"/>
      <c r="U8" s="301"/>
      <c r="V8" s="752"/>
      <c r="W8" s="326"/>
      <c r="X8" s="752"/>
      <c r="Y8" s="1258"/>
      <c r="Z8" s="2266"/>
      <c r="AA8" s="2108" t="s">
        <v>64</v>
      </c>
      <c r="AB8" s="2266"/>
      <c r="AC8" s="2108" t="s">
        <v>64</v>
      </c>
      <c r="AD8" s="752"/>
      <c r="AE8" s="326"/>
      <c r="AF8" s="752"/>
      <c r="AG8" s="1258"/>
      <c r="AH8" s="2266"/>
      <c r="AI8" s="2108" t="s">
        <v>64</v>
      </c>
      <c r="AJ8" s="2266"/>
      <c r="AK8" s="2108" t="s">
        <v>64</v>
      </c>
      <c r="AL8" s="326"/>
      <c r="AM8" s="2254" t="s">
        <v>443</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444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445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218</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219</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227</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64</v>
      </c>
      <c r="AJ17" s="2268"/>
      <c r="AK17" s="2269" t="s">
        <v>64</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447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448</v>
      </c>
      <c r="P22" s="1363"/>
      <c r="Q22" s="1372"/>
      <c r="R22" s="1372"/>
      <c r="S22" s="730"/>
      <c r="T22" s="1161" t="s">
        <v>449</v>
      </c>
      <c r="AA22" s="187" t="s">
        <v>450</v>
      </c>
      <c r="AC22" s="187" t="s">
        <v>451</v>
      </c>
      <c r="AD22" s="1161" t="s">
        <v>449</v>
      </c>
      <c r="AI22" s="187" t="s">
        <v>452</v>
      </c>
      <c r="AK22" s="187" t="s">
        <v>451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КГУП "Примтеплоэнерго"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Агентство по тарифам Приморского края</v>
      </c>
      <c r="W29" s="2252"/>
      <c r="X29" s="2252"/>
      <c r="Y29" s="2252"/>
      <c r="Z29" s="2252"/>
      <c r="AA29" s="2252"/>
      <c r="AB29" s="2252"/>
      <c r="AC29" s="327"/>
      <c r="AD29" s="2252" t="str">
        <f>IF(TITLE_NAME_OR_PR_CHANGE="",IF(TITLE_NAME_OR_PR="","",TITLE_NAME_OR_PR),TITLE_NAME_OR_PR_CHANGE)</f>
        <v>Агентство по тарифам Приморского края</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453</v>
      </c>
      <c r="T30" s="2251"/>
      <c r="U30" s="1373"/>
      <c r="V30" s="2265" t="str">
        <f>IF(TITLE_DATE_PR_CHANGE="",IF(TITLE_DATE_PR="","",TITLE_DATE_PR),TITLE_DATE_PR_CHANGE)</f>
        <v>45777.43633101852</v>
      </c>
      <c r="W30" s="2265"/>
      <c r="X30" s="2265"/>
      <c r="Y30" s="2265"/>
      <c r="Z30" s="2265"/>
      <c r="AA30" s="2265"/>
      <c r="AB30" s="2265"/>
      <c r="AC30" s="327"/>
      <c r="AD30" s="2265" t="str">
        <f>IF(TITLE_DATE_PR_CHANGE="",IF(TITLE_DATE_PR="","",TITLE_DATE_PR),TITLE_DATE_PR_CHANGE)</f>
        <v>45777.43633101852</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454</v>
      </c>
      <c r="T31" s="2251"/>
      <c r="U31" s="1373"/>
      <c r="V31" s="2252" t="str">
        <f>IF(TITLE_NUMBER_PR_CHANGE="",IF(TITLE_NUMBER_PR="","",TITLE_NUMBER_PR),TITLE_NUMBER_PR_CHANGE)</f>
        <v>17-1</v>
      </c>
      <c r="W31" s="2252"/>
      <c r="X31" s="2252"/>
      <c r="Y31" s="2252"/>
      <c r="Z31" s="2252"/>
      <c r="AA31" s="2252"/>
      <c r="AB31" s="2252"/>
      <c r="AC31" s="327"/>
      <c r="AD31" s="2252" t="str">
        <f>IF(TITLE_NUMBER_PR_CHANGE="",IF(TITLE_NUMBER_PR="","",TITLE_NUMBER_PR),TITLE_NUMBER_PR_CHANGE)</f>
        <v>17-1</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http://pravo.gov.ru</v>
      </c>
      <c r="W32" s="2252"/>
      <c r="X32" s="2252"/>
      <c r="Y32" s="2252"/>
      <c r="Z32" s="2252"/>
      <c r="AA32" s="2252"/>
      <c r="AB32" s="2252"/>
      <c r="AC32" s="327"/>
      <c r="AD32" s="2252" t="str">
        <f>IF(TITLE_IST_PUB_CHANGE="",IF(TITLE_IST_PUB="","",TITLE_IST_PUB),TITLE_IST_PUB_CHANGE)</f>
        <v>http://pravo.gov.ru</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455</v>
      </c>
      <c r="T34" s="2251"/>
      <c r="U34" s="1373"/>
      <c r="V34" s="2265" t="str">
        <f>IF(TITLE_DATE_PR_CHANGE="",IF(TITLE_DATE_PR="","",TITLE_DATE_PR),TITLE_DATE_PR_CHANGE)</f>
        <v>45777.43633101852</v>
      </c>
      <c r="W34" s="2265"/>
      <c r="X34" s="2265"/>
      <c r="Y34" s="2265"/>
      <c r="Z34" s="2265"/>
      <c r="AA34" s="2265"/>
      <c r="AB34" s="2265"/>
      <c r="AC34" s="327"/>
      <c r="AD34" s="2265" t="str">
        <f>IF(TITLE_DATE_PR_CHANGE="",IF(TITLE_DATE_PR="","",TITLE_DATE_PR),TITLE_DATE_PR_CHANGE)</f>
        <v>45777.43633101852</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456</v>
      </c>
      <c r="T35" s="2251"/>
      <c r="U35" s="1373"/>
      <c r="V35" s="2252" t="str">
        <f>IF(TITLE_NUMBER_PR_CHANGE="",IF(TITLE_NUMBER_PR="","",TITLE_NUMBER_PR),TITLE_NUMBER_PR_CHANGE)</f>
        <v>17-1</v>
      </c>
      <c r="W35" s="2252"/>
      <c r="X35" s="2252"/>
      <c r="Y35" s="2252"/>
      <c r="Z35" s="2252"/>
      <c r="AA35" s="2252"/>
      <c r="AB35" s="2252"/>
      <c r="AC35" s="327"/>
      <c r="AD35" s="2252" t="str">
        <f>IF(TITLE_NUMBER_PR_CHANGE="",IF(TITLE_NUMBER_PR="","",TITLE_NUMBER_PR),TITLE_NUMBER_PR_CHANGE)</f>
        <v>17-1</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457</v>
      </c>
      <c r="AD36" s="327"/>
      <c r="AE36" s="327"/>
      <c r="AF36" s="327"/>
      <c r="AG36" s="327"/>
      <c r="AH36" s="327"/>
      <c r="AI36" s="327"/>
      <c r="AJ36" s="327"/>
      <c r="AK36" s="279" t="s">
        <v>457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333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334</v>
      </c>
      <c r="AS38" s="1156">
        <v>14</v>
      </c>
    </row>
    <row customHeight="1" ht="14.699999999999998">
      <c r="Q39" s="377"/>
      <c r="R39" s="377"/>
      <c r="S39" s="2274" t="s">
        <v>91</v>
      </c>
      <c r="T39" s="2210" t="s">
        <v>458</v>
      </c>
      <c r="U39" s="302"/>
      <c r="V39" s="2275" t="s">
        <v>459</v>
      </c>
      <c r="W39" s="2276"/>
      <c r="X39" s="2276"/>
      <c r="Y39" s="2276"/>
      <c r="Z39" s="2276"/>
      <c r="AA39" s="2276"/>
      <c r="AB39" s="2277"/>
      <c r="AC39" s="2278" t="s">
        <v>460</v>
      </c>
      <c r="AD39" s="2275" t="s">
        <v>459</v>
      </c>
      <c r="AE39" s="2276"/>
      <c r="AF39" s="2276"/>
      <c r="AG39" s="2276"/>
      <c r="AH39" s="2276"/>
      <c r="AI39" s="2276"/>
      <c r="AJ39" s="2277"/>
      <c r="AK39" s="2278" t="s">
        <v>461</v>
      </c>
      <c r="AL39" s="2281" t="s">
        <v>462</v>
      </c>
      <c r="AM39" s="2128"/>
      <c r="AS39" s="1156">
        <v>14</v>
      </c>
    </row>
    <row customHeight="1" ht="35.699999999999996">
      <c r="Q40" s="377"/>
      <c r="R40" s="377"/>
      <c r="S40" s="2274"/>
      <c r="T40" s="2210"/>
      <c r="U40" s="1032"/>
      <c r="V40" s="2261" t="s">
        <v>463</v>
      </c>
      <c r="W40" s="2284"/>
      <c r="X40" s="2263" t="s">
        <v>465</v>
      </c>
      <c r="Y40" s="2264"/>
      <c r="Z40" s="2263" t="s">
        <v>466</v>
      </c>
      <c r="AA40" s="2270"/>
      <c r="AB40" s="2264"/>
      <c r="AC40" s="2279"/>
      <c r="AD40" s="2261" t="s">
        <v>479</v>
      </c>
      <c r="AE40" s="2284"/>
      <c r="AF40" s="2263" t="s">
        <v>465</v>
      </c>
      <c r="AG40" s="2264"/>
      <c r="AH40" s="2263" t="s">
        <v>466</v>
      </c>
      <c r="AI40" s="2270"/>
      <c r="AJ40" s="2264"/>
      <c r="AK40" s="2279"/>
      <c r="AL40" s="2282"/>
      <c r="AM40" s="2128"/>
      <c r="AS40" s="1156">
        <v>34</v>
      </c>
    </row>
    <row customHeight="1" ht="35.699999999999996">
      <c r="A41" s="1371"/>
      <c r="B41" s="1371" t="s">
        <v>149</v>
      </c>
      <c r="C41" s="1371" t="s">
        <v>150</v>
      </c>
      <c r="D41" s="1371" t="s">
        <v>151</v>
      </c>
      <c r="E41" s="1365" t="s">
        <v>467</v>
      </c>
      <c r="F41" s="1365" t="s">
        <v>468</v>
      </c>
      <c r="G41" s="1365" t="s">
        <v>469</v>
      </c>
      <c r="H41" s="1365" t="s">
        <v>470</v>
      </c>
      <c r="I41" s="1365" t="s">
        <v>471</v>
      </c>
      <c r="J41" s="1365" t="s">
        <v>472</v>
      </c>
      <c r="K41" s="1365" t="s">
        <v>473</v>
      </c>
      <c r="L41" s="1365" t="s">
        <v>448</v>
      </c>
      <c r="Q41" s="377"/>
      <c r="R41" s="377"/>
      <c r="S41" s="2274"/>
      <c r="T41" s="2210"/>
      <c r="U41" s="303"/>
      <c r="V41" s="2262"/>
      <c r="W41" s="2285"/>
      <c r="X41" s="1223" t="s">
        <v>474</v>
      </c>
      <c r="Y41" s="1223" t="s">
        <v>475</v>
      </c>
      <c r="Z41" s="1339" t="s">
        <v>476</v>
      </c>
      <c r="AA41" s="2271" t="s">
        <v>477</v>
      </c>
      <c r="AB41" s="2272"/>
      <c r="AC41" s="2280"/>
      <c r="AD41" s="2262"/>
      <c r="AE41" s="2285"/>
      <c r="AF41" s="1223" t="s">
        <v>474</v>
      </c>
      <c r="AG41" s="1223" t="s">
        <v>475</v>
      </c>
      <c r="AH41" s="1339" t="s">
        <v>476</v>
      </c>
      <c r="AI41" s="2271" t="s">
        <v>477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124</v>
      </c>
      <c r="T42" s="1256" t="s">
        <v>107</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200</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137</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200</v>
      </c>
      <c r="B44" s="1364" t="s">
        <v>201</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430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431</v>
      </c>
      <c r="AO44" s="501"/>
      <c r="AP44" s="501" t="str">
        <f>IF(T44="","",T44)</f>
        <v>Территория действия тарифа</v>
      </c>
      <c r="AQ44" s="501"/>
      <c r="AR44" s="501"/>
      <c r="AS44" s="1156">
        <v>21</v>
      </c>
    </row>
    <row customHeight="1" ht="24">
      <c r="A45" s="1364" t="s">
        <v>200</v>
      </c>
      <c r="B45" s="1364" t="s">
        <v>201</v>
      </c>
      <c r="C45" s="1364" t="s">
        <v>202</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432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433</v>
      </c>
      <c r="AO45" s="501"/>
      <c r="AP45" s="501" t="str">
        <f>IF(T45="","",T45)</f>
        <v>Наименование системы теплоснабжения </v>
      </c>
      <c r="AQ45" s="501"/>
      <c r="AR45" s="501"/>
      <c r="AS45" s="1156">
        <v>23</v>
      </c>
    </row>
    <row customHeight="1" ht="22.049999999999997">
      <c r="A46" s="1364" t="s">
        <v>200</v>
      </c>
      <c r="B46" s="1364" t="s">
        <v>201</v>
      </c>
      <c r="C46" s="1364" t="s">
        <v>202</v>
      </c>
      <c r="D46" s="1364" t="s">
        <v>203</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434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435</v>
      </c>
      <c r="AO46" s="501"/>
      <c r="AP46" s="501" t="str">
        <f>IF(T46="","",T46)</f>
        <v>Источник тепловой энергии  </v>
      </c>
      <c r="AQ46" s="501"/>
      <c r="AR46" s="501"/>
      <c r="AS46" s="1156">
        <v>21</v>
      </c>
    </row>
    <row s="1643" customFormat="1" customHeight="1" ht="0">
      <c r="A47" s="1344" t="s">
        <v>200</v>
      </c>
      <c r="B47" s="1344" t="s">
        <v>201</v>
      </c>
      <c r="C47" s="1344" t="s">
        <v>202</v>
      </c>
      <c r="D47" s="1344" t="s">
        <v>203</v>
      </c>
      <c r="E47" s="2260"/>
      <c r="F47" s="2260"/>
      <c r="G47" s="2260"/>
      <c r="H47" s="2260"/>
      <c r="I47" s="2257" t="str">
        <f>S46&amp;".1"</f>
        <v>....1</v>
      </c>
      <c r="J47" s="1344"/>
      <c r="K47" s="1344"/>
      <c r="L47" s="1347" t="s">
        <v>436</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200</v>
      </c>
      <c r="B48" s="1364" t="s">
        <v>201</v>
      </c>
      <c r="C48" s="1364" t="s">
        <v>202</v>
      </c>
      <c r="D48" s="1364" t="s">
        <v>203</v>
      </c>
      <c r="E48" s="2260"/>
      <c r="F48" s="2260"/>
      <c r="G48" s="2260"/>
      <c r="H48" s="2260"/>
      <c r="I48" s="2287"/>
      <c r="J48" s="2257" t="str">
        <f>S46&amp;".1"</f>
        <v>....1</v>
      </c>
      <c r="K48" s="1364"/>
      <c r="L48" s="1365" t="s">
        <v>439</v>
      </c>
      <c r="P48" s="2258"/>
      <c r="Q48" s="2258">
        <v>1</v>
      </c>
      <c r="R48" s="358"/>
      <c r="S48" s="1337" t="str">
        <f>$J48</f>
        <v>....1</v>
      </c>
      <c r="T48" s="287" t="s">
        <v>440</v>
      </c>
      <c r="U48" s="301"/>
      <c r="V48" s="2246"/>
      <c r="W48" s="2247"/>
      <c r="X48" s="2247"/>
      <c r="Y48" s="2247"/>
      <c r="Z48" s="2247"/>
      <c r="AA48" s="2247"/>
      <c r="AB48" s="2247"/>
      <c r="AC48" s="2248"/>
      <c r="AD48" s="2246"/>
      <c r="AE48" s="2247"/>
      <c r="AF48" s="2247"/>
      <c r="AG48" s="2247"/>
      <c r="AH48" s="2247"/>
      <c r="AI48" s="2247"/>
      <c r="AJ48" s="2247"/>
      <c r="AK48" s="2247"/>
      <c r="AL48" s="2248"/>
      <c r="AM48" s="1259" t="s">
        <v>441</v>
      </c>
      <c r="AO48" s="501"/>
      <c r="AP48" s="501" t="str">
        <f>IF(T48="","",T48)</f>
        <v>Группа потребителей</v>
      </c>
      <c r="AQ48" s="501"/>
      <c r="AR48" s="501"/>
      <c r="AS48" s="1156">
        <v>21</v>
      </c>
    </row>
    <row customHeight="1" ht="22.049999999999997">
      <c r="A49" s="1364" t="s">
        <v>200</v>
      </c>
      <c r="B49" s="1364" t="s">
        <v>201</v>
      </c>
      <c r="C49" s="1364" t="s">
        <v>202</v>
      </c>
      <c r="D49" s="1364" t="s">
        <v>203</v>
      </c>
      <c r="E49" s="2260"/>
      <c r="F49" s="2260"/>
      <c r="G49" s="2260"/>
      <c r="H49" s="2260"/>
      <c r="I49" s="2287"/>
      <c r="J49" s="2287"/>
      <c r="K49" s="2257" t="str">
        <f>J48&amp;".1"</f>
        <v>....1.1</v>
      </c>
      <c r="L49" s="1365" t="s">
        <v>442</v>
      </c>
      <c r="P49" s="2258"/>
      <c r="Q49" s="2258"/>
      <c r="R49" s="358">
        <v>1</v>
      </c>
      <c r="S49" s="1337" t="str">
        <f>$K49</f>
        <v>....1.1</v>
      </c>
      <c r="T49" s="1348"/>
      <c r="U49" s="301"/>
      <c r="V49" s="752"/>
      <c r="W49" s="326"/>
      <c r="X49" s="752"/>
      <c r="Y49" s="1258"/>
      <c r="Z49" s="2266"/>
      <c r="AA49" s="2108" t="s">
        <v>64</v>
      </c>
      <c r="AB49" s="2266"/>
      <c r="AC49" s="2108" t="s">
        <v>64</v>
      </c>
      <c r="AD49" s="752"/>
      <c r="AE49" s="326"/>
      <c r="AF49" s="752"/>
      <c r="AG49" s="1258"/>
      <c r="AH49" s="2266"/>
      <c r="AI49" s="2108" t="s">
        <v>64</v>
      </c>
      <c r="AJ49" s="2288"/>
      <c r="AK49" s="2108" t="s">
        <v>64</v>
      </c>
      <c r="AL49" s="1349"/>
      <c r="AM49" s="2254" t="s">
        <v>480</v>
      </c>
      <c r="AN49" s="512">
        <f>STRCHECKDATE(V50:AL50)</f>
      </c>
      <c r="AO49" s="501"/>
      <c r="AP49" s="501" t="str">
        <f>IF(T49="","",T49)</f>
        <v/>
      </c>
      <c r="AQ49" s="501"/>
      <c r="AR49" s="501"/>
      <c r="AS49" s="1156">
        <v>21</v>
      </c>
    </row>
    <row customHeight="1" ht="0">
      <c r="A50" s="1364" t="s">
        <v>200</v>
      </c>
      <c r="B50" s="1364" t="s">
        <v>201</v>
      </c>
      <c r="C50" s="1364" t="s">
        <v>202</v>
      </c>
      <c r="D50" s="1364" t="s">
        <v>203</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200</v>
      </c>
      <c r="B51" s="1364" t="s">
        <v>201</v>
      </c>
      <c r="C51" s="1364" t="s">
        <v>202</v>
      </c>
      <c r="D51" s="1364" t="s">
        <v>203</v>
      </c>
      <c r="E51" s="2260"/>
      <c r="F51" s="2260"/>
      <c r="G51" s="2260"/>
      <c r="H51" s="2260"/>
      <c r="I51" s="2287"/>
      <c r="J51" s="2257"/>
      <c r="K51" s="1364"/>
      <c r="L51" s="1365"/>
      <c r="P51" s="2258"/>
      <c r="Q51" s="2258"/>
      <c r="R51" s="357"/>
      <c r="S51" s="1279"/>
      <c r="T51" s="288" t="s">
        <v>444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200</v>
      </c>
      <c r="B52" s="1364" t="s">
        <v>201</v>
      </c>
      <c r="C52" s="1364" t="s">
        <v>202</v>
      </c>
      <c r="D52" s="1364" t="s">
        <v>203</v>
      </c>
      <c r="E52" s="2260"/>
      <c r="F52" s="2260"/>
      <c r="G52" s="2260"/>
      <c r="H52" s="2260"/>
      <c r="I52" s="2257"/>
      <c r="J52" s="1364"/>
      <c r="K52" s="1364"/>
      <c r="L52" s="1365"/>
      <c r="P52" s="2258"/>
      <c r="Q52" s="1332"/>
      <c r="R52" s="357"/>
      <c r="S52" s="1279"/>
      <c r="T52" s="366" t="s">
        <v>445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200</v>
      </c>
      <c r="B53" s="1364" t="s">
        <v>201</v>
      </c>
      <c r="C53" s="1364" t="s">
        <v>202</v>
      </c>
      <c r="D53" s="1364" t="s">
        <v>203</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200</v>
      </c>
      <c r="B54" s="1344" t="s">
        <v>201</v>
      </c>
      <c r="C54" s="1344" t="s">
        <v>202</v>
      </c>
      <c r="D54" s="1315"/>
      <c r="E54" s="2260"/>
      <c r="F54" s="2260"/>
      <c r="G54" s="2259"/>
      <c r="H54" s="1315"/>
      <c r="I54" s="1315"/>
      <c r="J54" s="1315"/>
      <c r="K54" s="1315"/>
      <c r="L54" s="1340"/>
      <c r="M54" s="1316"/>
      <c r="N54" s="1316"/>
      <c r="P54" s="1317"/>
      <c r="Q54" s="1318"/>
      <c r="R54" s="1317"/>
      <c r="S54" s="1323"/>
      <c r="T54" s="1326" t="s">
        <v>218</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200</v>
      </c>
      <c r="B55" s="1344" t="s">
        <v>201</v>
      </c>
      <c r="C55" s="1315"/>
      <c r="D55" s="1315"/>
      <c r="E55" s="2260"/>
      <c r="F55" s="2259"/>
      <c r="G55" s="1315"/>
      <c r="H55" s="1315"/>
      <c r="I55" s="1315"/>
      <c r="J55" s="1315"/>
      <c r="K55" s="1315"/>
      <c r="L55" s="1340"/>
      <c r="M55" s="1322"/>
      <c r="N55" s="1322"/>
      <c r="P55" s="1317"/>
      <c r="Q55" s="1318"/>
      <c r="R55" s="1317"/>
      <c r="S55" s="1323"/>
      <c r="T55" s="1326" t="s">
        <v>219</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200</v>
      </c>
      <c r="B56" s="1344"/>
      <c r="C56" s="1344"/>
      <c r="D56" s="1344"/>
      <c r="E56" s="2259"/>
      <c r="F56" s="1344"/>
      <c r="G56" s="1344"/>
      <c r="H56" s="1344"/>
      <c r="I56" s="1344"/>
      <c r="J56" s="1344"/>
      <c r="K56" s="1344"/>
      <c r="L56" s="1347"/>
      <c r="M56" s="1322"/>
      <c r="N56" s="1322"/>
      <c r="O56" s="519"/>
      <c r="P56" s="381"/>
      <c r="Q56" s="1345"/>
      <c r="R56" s="381"/>
      <c r="S56" s="1323"/>
      <c r="T56" s="1326" t="s">
        <v>227</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236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85</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F617E8-F088-DF48-D7D8-B3DDB1F5F6A8}"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137</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429</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430</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431</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432</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433</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434</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435</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436</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439</v>
      </c>
      <c r="N7" s="510"/>
      <c r="O7" s="328"/>
      <c r="Q7" s="2258"/>
      <c r="R7" s="2258">
        <v>1</v>
      </c>
      <c r="S7" s="519"/>
      <c r="T7" s="358"/>
      <c r="U7" s="1337">
        <f>$J7</f>
      </c>
      <c r="V7" s="287" t="s">
        <v>440</v>
      </c>
      <c r="W7" s="301"/>
      <c r="X7" s="2246"/>
      <c r="Y7" s="2247"/>
      <c r="Z7" s="2247"/>
      <c r="AA7" s="2247"/>
      <c r="AB7" s="2247"/>
      <c r="AC7" s="2236"/>
      <c r="AD7" s="2236"/>
      <c r="AE7" s="2236"/>
      <c r="AF7" s="2309"/>
      <c r="AG7" s="2246"/>
      <c r="AH7" s="2247"/>
      <c r="AI7" s="2247"/>
      <c r="AJ7" s="2247"/>
      <c r="AK7" s="2247"/>
      <c r="AL7" s="2247"/>
      <c r="AM7" s="2247"/>
      <c r="AN7" s="2247"/>
      <c r="AO7" s="2247"/>
      <c r="AP7" s="2248"/>
      <c r="AQ7" s="1259" t="s">
        <v>441</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442</v>
      </c>
      <c r="N8" s="510"/>
      <c r="O8" s="328"/>
      <c r="P8" s="328"/>
      <c r="Q8" s="2258"/>
      <c r="R8" s="2258"/>
      <c r="S8" s="2258">
        <v>1</v>
      </c>
      <c r="T8" s="358"/>
      <c r="U8" s="1337">
        <f>$K8</f>
      </c>
      <c r="V8" s="1348"/>
      <c r="W8" s="301"/>
      <c r="X8" s="752"/>
      <c r="Y8" s="752"/>
      <c r="Z8" s="752"/>
      <c r="AA8" s="752"/>
      <c r="AB8" s="1406"/>
      <c r="AC8" s="2266"/>
      <c r="AD8" s="2108" t="s">
        <v>64</v>
      </c>
      <c r="AE8" s="2266"/>
      <c r="AF8" s="2108" t="s">
        <v>64</v>
      </c>
      <c r="AG8" s="1408"/>
      <c r="AH8" s="752"/>
      <c r="AI8" s="752"/>
      <c r="AJ8" s="752"/>
      <c r="AK8" s="1258"/>
      <c r="AL8" s="2266"/>
      <c r="AM8" s="2108" t="s">
        <v>64</v>
      </c>
      <c r="AN8" s="2266"/>
      <c r="AO8" s="2108" t="s">
        <v>64</v>
      </c>
      <c r="AP8" s="326"/>
      <c r="AQ8" s="1308" t="s">
        <v>481</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482</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483</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444</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445</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218</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219</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227</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64</v>
      </c>
      <c r="AN19" s="2268"/>
      <c r="AO19" s="2269" t="s">
        <v>64</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447</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448</v>
      </c>
      <c r="Q26" s="1363"/>
      <c r="R26" s="1372"/>
      <c r="S26" s="1372"/>
      <c r="T26" s="1372"/>
      <c r="U26" s="730"/>
      <c r="V26" s="1161" t="s">
        <v>449</v>
      </c>
      <c r="AD26" s="187" t="s">
        <v>450</v>
      </c>
      <c r="AF26" s="187" t="s">
        <v>451</v>
      </c>
      <c r="AG26" s="1161" t="s">
        <v>449</v>
      </c>
      <c r="AM26" s="187" t="s">
        <v>452</v>
      </c>
      <c r="AO26" s="187" t="s">
        <v>451</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КГУП "Примтеплоэнерго"</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Агентство по тарифам Приморского края</v>
      </c>
      <c r="Y33" s="2252"/>
      <c r="Z33" s="2252"/>
      <c r="AA33" s="2252"/>
      <c r="AB33" s="2252"/>
      <c r="AC33" s="2252"/>
      <c r="AD33" s="2252"/>
      <c r="AE33" s="2252"/>
      <c r="AF33" s="327"/>
      <c r="AG33" s="2252" t="str">
        <f>IF(TITLE_NAME_OR_PR_CHANGE="",IF(TITLE_NAME_OR_PR="","",TITLE_NAME_OR_PR),TITLE_NAME_OR_PR_CHANGE)</f>
        <v>Агентство по тарифам Приморского края</v>
      </c>
      <c r="AH33" s="2252"/>
      <c r="AI33" s="2252"/>
      <c r="AJ33" s="2252"/>
      <c r="AK33" s="2252"/>
      <c r="AL33" s="2252"/>
      <c r="AM33" s="2252"/>
      <c r="AN33" s="2252"/>
      <c r="AO33" s="327"/>
      <c r="AP33" s="327"/>
      <c r="AQ33" s="281"/>
      <c r="AR33" s="369"/>
      <c r="AS33" s="369"/>
      <c r="AT33" s="369"/>
      <c r="AU33" s="369"/>
      <c r="AV33" s="369"/>
      <c r="AW33" s="419">
        <v>0</v>
      </c>
    </row>
    <row s="1854" customFormat="1" customHeight="1" ht="18.75">
      <c r="A34" s="1249"/>
      <c r="B34" s="1249"/>
      <c r="C34" s="1249"/>
      <c r="D34" s="1249"/>
      <c r="E34" s="1249"/>
      <c r="F34" s="1249"/>
      <c r="G34" s="1249"/>
      <c r="H34" s="1249"/>
      <c r="I34" s="1249"/>
      <c r="J34" s="1249"/>
      <c r="K34" s="1249"/>
      <c r="L34" s="1249"/>
      <c r="M34" s="1381"/>
      <c r="N34" s="1249"/>
      <c r="O34" s="1249"/>
      <c r="P34" s="1249"/>
      <c r="U34" s="2251" t="s">
        <v>453</v>
      </c>
      <c r="V34" s="2251"/>
      <c r="W34" s="1373"/>
      <c r="X34" s="2265" t="str">
        <f>IF(TITLE_DATE_PR_CHANGE="",IF(TITLE_DATE_PR="","",TITLE_DATE_PR),TITLE_DATE_PR_CHANGE)</f>
        <v>45777.43633101852</v>
      </c>
      <c r="Y34" s="2265"/>
      <c r="Z34" s="2265"/>
      <c r="AA34" s="2265"/>
      <c r="AB34" s="2265"/>
      <c r="AC34" s="2265"/>
      <c r="AD34" s="2265"/>
      <c r="AE34" s="2265"/>
      <c r="AF34" s="327"/>
      <c r="AG34" s="2265" t="str">
        <f>IF(TITLE_DATE_PR_CHANGE="",IF(TITLE_DATE_PR="","",TITLE_DATE_PR),TITLE_DATE_PR_CHANGE)</f>
        <v>45777.43633101852</v>
      </c>
      <c r="AH34" s="2265"/>
      <c r="AI34" s="2265"/>
      <c r="AJ34" s="2265"/>
      <c r="AK34" s="2265"/>
      <c r="AL34" s="2265"/>
      <c r="AM34" s="2265"/>
      <c r="AN34" s="2265"/>
      <c r="AO34" s="327"/>
      <c r="AP34" s="327"/>
      <c r="AQ34" s="281"/>
      <c r="AR34" s="369"/>
      <c r="AS34" s="369"/>
      <c r="AT34" s="369"/>
      <c r="AU34" s="369"/>
      <c r="AV34" s="369"/>
      <c r="AW34" s="419">
        <v>0</v>
      </c>
    </row>
    <row s="1854" customFormat="1" customHeight="1" ht="18.75">
      <c r="A35" s="1249"/>
      <c r="B35" s="1249"/>
      <c r="C35" s="1249"/>
      <c r="D35" s="1249"/>
      <c r="E35" s="1249"/>
      <c r="F35" s="1249"/>
      <c r="G35" s="1249"/>
      <c r="H35" s="1249"/>
      <c r="I35" s="1249"/>
      <c r="J35" s="1249"/>
      <c r="K35" s="1249"/>
      <c r="L35" s="1249"/>
      <c r="M35" s="1381"/>
      <c r="N35" s="1249"/>
      <c r="O35" s="1249"/>
      <c r="P35" s="1249"/>
      <c r="U35" s="2251" t="s">
        <v>454</v>
      </c>
      <c r="V35" s="2251"/>
      <c r="W35" s="1373"/>
      <c r="X35" s="2252" t="str">
        <f>IF(TITLE_NUMBER_PR_CHANGE="",IF(TITLE_NUMBER_PR="","",TITLE_NUMBER_PR),TITLE_NUMBER_PR_CHANGE)</f>
        <v>17-1</v>
      </c>
      <c r="Y35" s="2252"/>
      <c r="Z35" s="2252"/>
      <c r="AA35" s="2252"/>
      <c r="AB35" s="2252"/>
      <c r="AC35" s="2252"/>
      <c r="AD35" s="2252"/>
      <c r="AE35" s="2252"/>
      <c r="AF35" s="327"/>
      <c r="AG35" s="2252" t="str">
        <f>IF(TITLE_NUMBER_PR_CHANGE="",IF(TITLE_NUMBER_PR="","",TITLE_NUMBER_PR),TITLE_NUMBER_PR_CHANGE)</f>
        <v>17-1</v>
      </c>
      <c r="AH35" s="2252"/>
      <c r="AI35" s="2252"/>
      <c r="AJ35" s="2252"/>
      <c r="AK35" s="2252"/>
      <c r="AL35" s="2252"/>
      <c r="AM35" s="2252"/>
      <c r="AN35" s="2252"/>
      <c r="AO35" s="327"/>
      <c r="AP35" s="327"/>
      <c r="AQ35" s="281"/>
      <c r="AR35" s="369"/>
      <c r="AS35" s="369"/>
      <c r="AT35" s="369"/>
      <c r="AU35" s="369"/>
      <c r="AV35" s="369"/>
      <c r="AW35" s="419">
        <v>0</v>
      </c>
    </row>
    <row s="1854" customFormat="1" customHeight="1" ht="18.75">
      <c r="A36" s="1249"/>
      <c r="B36" s="1249"/>
      <c r="C36" s="1249"/>
      <c r="D36" s="1249"/>
      <c r="E36" s="1249"/>
      <c r="F36" s="1249"/>
      <c r="G36" s="1249"/>
      <c r="H36" s="1249"/>
      <c r="I36" s="1249"/>
      <c r="J36" s="1249"/>
      <c r="K36" s="1249"/>
      <c r="L36" s="1249"/>
      <c r="M36" s="1381"/>
      <c r="N36" s="1249"/>
      <c r="O36" s="1249"/>
      <c r="P36" s="1249"/>
      <c r="U36" s="2251" t="s">
        <v>44</v>
      </c>
      <c r="V36" s="2251"/>
      <c r="W36" s="1373"/>
      <c r="X36" s="2252" t="str">
        <f>IF(TITLE_IST_PUB_CHANGE="",IF(TITLE_IST_PUB="","",TITLE_IST_PUB),TITLE_IST_PUB_CHANGE)</f>
        <v>http://pravo.gov.ru</v>
      </c>
      <c r="Y36" s="2252"/>
      <c r="Z36" s="2252"/>
      <c r="AA36" s="2252"/>
      <c r="AB36" s="2252"/>
      <c r="AC36" s="2252"/>
      <c r="AD36" s="2252"/>
      <c r="AE36" s="2252"/>
      <c r="AF36" s="327"/>
      <c r="AG36" s="2252" t="str">
        <f>IF(TITLE_IST_PUB_CHANGE="",IF(TITLE_IST_PUB="","",TITLE_IST_PUB),TITLE_IST_PUB_CHANGE)</f>
        <v>http://pravo.gov.ru</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455</v>
      </c>
      <c r="V38" s="2251"/>
      <c r="W38" s="1373"/>
      <c r="X38" s="2265" t="str">
        <f>IF(TITLE_DATE_PR_CHANGE="",IF(TITLE_DATE_PR="","",TITLE_DATE_PR),TITLE_DATE_PR_CHANGE)</f>
        <v>45777.43633101852</v>
      </c>
      <c r="Y38" s="2265"/>
      <c r="Z38" s="2265"/>
      <c r="AA38" s="2265"/>
      <c r="AB38" s="2265"/>
      <c r="AC38" s="2265"/>
      <c r="AD38" s="2265"/>
      <c r="AE38" s="2265"/>
      <c r="AF38" s="327"/>
      <c r="AG38" s="2265" t="str">
        <f>IF(TITLE_DATE_PR_CHANGE="",IF(TITLE_DATE_PR="","",TITLE_DATE_PR),TITLE_DATE_PR_CHANGE)</f>
        <v>45777.43633101852</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456</v>
      </c>
      <c r="V39" s="2251"/>
      <c r="W39" s="1373"/>
      <c r="X39" s="2252" t="str">
        <f>IF(TITLE_NUMBER_PR_CHANGE="",IF(TITLE_NUMBER_PR="","",TITLE_NUMBER_PR),TITLE_NUMBER_PR_CHANGE)</f>
        <v>17-1</v>
      </c>
      <c r="Y39" s="2252"/>
      <c r="Z39" s="2252"/>
      <c r="AA39" s="2252"/>
      <c r="AB39" s="2252"/>
      <c r="AC39" s="2252"/>
      <c r="AD39" s="2252"/>
      <c r="AE39" s="2252"/>
      <c r="AF39" s="327"/>
      <c r="AG39" s="2252" t="str">
        <f>IF(TITLE_NUMBER_PR_CHANGE="",IF(TITLE_NUMBER_PR="","",TITLE_NUMBER_PR),TITLE_NUMBER_PR_CHANGE)</f>
        <v>17-1</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457</v>
      </c>
      <c r="AG40" s="327"/>
      <c r="AH40" s="327"/>
      <c r="AI40" s="327"/>
      <c r="AJ40" s="327"/>
      <c r="AK40" s="327"/>
      <c r="AL40" s="327"/>
      <c r="AM40" s="327"/>
      <c r="AN40" s="327"/>
      <c r="AO40" s="279" t="s">
        <v>457</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333</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334</v>
      </c>
      <c r="AW42" s="1156">
        <v>14</v>
      </c>
    </row>
    <row customHeight="1" ht="14.699999999999998">
      <c r="R43" s="377"/>
      <c r="S43" s="377"/>
      <c r="T43" s="377"/>
      <c r="U43" s="2274" t="s">
        <v>91</v>
      </c>
      <c r="V43" s="2210" t="s">
        <v>458</v>
      </c>
      <c r="W43" s="302"/>
      <c r="X43" s="2275" t="s">
        <v>459</v>
      </c>
      <c r="Y43" s="2292"/>
      <c r="Z43" s="2292"/>
      <c r="AA43" s="2292"/>
      <c r="AB43" s="2292"/>
      <c r="AC43" s="2276"/>
      <c r="AD43" s="2276"/>
      <c r="AE43" s="2277"/>
      <c r="AF43" s="2278" t="s">
        <v>460</v>
      </c>
      <c r="AG43" s="2275" t="s">
        <v>459</v>
      </c>
      <c r="AH43" s="2292"/>
      <c r="AI43" s="2292"/>
      <c r="AJ43" s="2292"/>
      <c r="AK43" s="2292"/>
      <c r="AL43" s="2276"/>
      <c r="AM43" s="2276"/>
      <c r="AN43" s="2277"/>
      <c r="AO43" s="2278" t="s">
        <v>461</v>
      </c>
      <c r="AP43" s="2281" t="s">
        <v>462</v>
      </c>
      <c r="AQ43" s="2128"/>
      <c r="AW43" s="1156">
        <v>14</v>
      </c>
    </row>
    <row customHeight="1" ht="35.699999999999996">
      <c r="R44" s="377"/>
      <c r="S44" s="377"/>
      <c r="T44" s="377"/>
      <c r="U44" s="2274"/>
      <c r="V44" s="2210"/>
      <c r="W44" s="1032"/>
      <c r="X44" s="2295" t="s">
        <v>484</v>
      </c>
      <c r="Y44" s="2313" t="s">
        <v>485</v>
      </c>
      <c r="Z44" s="2313"/>
      <c r="AA44" s="2313"/>
      <c r="AB44" s="2313"/>
      <c r="AC44" s="2295" t="s">
        <v>466</v>
      </c>
      <c r="AD44" s="2612"/>
      <c r="AE44" s="2315"/>
      <c r="AF44" s="2279"/>
      <c r="AG44" s="2295" t="s">
        <v>484</v>
      </c>
      <c r="AH44" s="2313" t="s">
        <v>485</v>
      </c>
      <c r="AI44" s="2313"/>
      <c r="AJ44" s="2313"/>
      <c r="AK44" s="2313"/>
      <c r="AL44" s="2295" t="s">
        <v>466</v>
      </c>
      <c r="AM44" s="2612"/>
      <c r="AN44" s="2315"/>
      <c r="AO44" s="2279"/>
      <c r="AP44" s="2282"/>
      <c r="AQ44" s="2128"/>
      <c r="AW44" s="1156">
        <v>34</v>
      </c>
    </row>
    <row customHeight="1" ht="14.699999999999998">
      <c r="R45" s="377"/>
      <c r="S45" s="377"/>
      <c r="T45" s="377"/>
      <c r="U45" s="2274"/>
      <c r="V45" s="2210"/>
      <c r="W45" s="1032"/>
      <c r="X45" s="2326"/>
      <c r="Y45" s="2318" t="s">
        <v>486</v>
      </c>
      <c r="Z45" s="2271" t="s">
        <v>487</v>
      </c>
      <c r="AA45" s="2321"/>
      <c r="AB45" s="2272"/>
      <c r="AC45" s="2296"/>
      <c r="AD45" s="2613"/>
      <c r="AE45" s="2317"/>
      <c r="AF45" s="2279"/>
      <c r="AG45" s="2326"/>
      <c r="AH45" s="2318" t="s">
        <v>486</v>
      </c>
      <c r="AI45" s="2271" t="s">
        <v>487</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488</v>
      </c>
      <c r="AA46" s="2271" t="s">
        <v>489</v>
      </c>
      <c r="AB46" s="2272"/>
      <c r="AC46" s="2318" t="s">
        <v>476</v>
      </c>
      <c r="AD46" s="2322" t="s">
        <v>477</v>
      </c>
      <c r="AE46" s="2323"/>
      <c r="AF46" s="2279"/>
      <c r="AG46" s="2326"/>
      <c r="AH46" s="2319"/>
      <c r="AI46" s="2318" t="s">
        <v>488</v>
      </c>
      <c r="AJ46" s="2271" t="s">
        <v>489</v>
      </c>
      <c r="AK46" s="2272"/>
      <c r="AL46" s="2318" t="s">
        <v>476</v>
      </c>
      <c r="AM46" s="2322" t="s">
        <v>477</v>
      </c>
      <c r="AN46" s="2323"/>
      <c r="AO46" s="2279"/>
      <c r="AP46" s="2282"/>
      <c r="AQ46" s="2128"/>
      <c r="AW46" s="1156">
        <v>26</v>
      </c>
    </row>
    <row customHeight="1" ht="65.25">
      <c r="A47" s="1260"/>
      <c r="B47" s="1260" t="s">
        <v>149</v>
      </c>
      <c r="C47" s="1260" t="s">
        <v>150</v>
      </c>
      <c r="D47" s="1260" t="s">
        <v>151</v>
      </c>
      <c r="E47" s="1311" t="s">
        <v>467</v>
      </c>
      <c r="F47" s="1311" t="s">
        <v>468</v>
      </c>
      <c r="G47" s="1311" t="s">
        <v>469</v>
      </c>
      <c r="H47" s="1311" t="s">
        <v>470</v>
      </c>
      <c r="I47" s="1311" t="s">
        <v>471</v>
      </c>
      <c r="J47" s="1311" t="s">
        <v>472</v>
      </c>
      <c r="K47" s="1311" t="s">
        <v>473</v>
      </c>
      <c r="L47" s="1311" t="s">
        <v>490</v>
      </c>
      <c r="M47" s="1311" t="s">
        <v>448</v>
      </c>
      <c r="R47" s="377"/>
      <c r="S47" s="377"/>
      <c r="T47" s="377"/>
      <c r="U47" s="2274"/>
      <c r="V47" s="2210"/>
      <c r="W47" s="303"/>
      <c r="X47" s="2296"/>
      <c r="Y47" s="2320"/>
      <c r="Z47" s="2320"/>
      <c r="AA47" s="1223" t="s">
        <v>491</v>
      </c>
      <c r="AB47" s="1223" t="s">
        <v>492</v>
      </c>
      <c r="AC47" s="2320"/>
      <c r="AD47" s="2324"/>
      <c r="AE47" s="2325"/>
      <c r="AF47" s="2280"/>
      <c r="AG47" s="2296"/>
      <c r="AH47" s="2320"/>
      <c r="AI47" s="2320"/>
      <c r="AJ47" s="1223" t="s">
        <v>491</v>
      </c>
      <c r="AK47" s="1223" t="s">
        <v>492</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124</v>
      </c>
      <c r="V48" s="1256" t="s">
        <v>107</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188</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137</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1"/>
      <c r="AT49" s="501" t="str">
        <f>IF(V49="","",V49)</f>
        <v>Наименование тарифа</v>
      </c>
      <c r="AU49" s="501"/>
      <c r="AV49" s="501"/>
      <c r="AW49" s="1156">
        <v>21</v>
      </c>
    </row>
    <row customHeight="1" ht="22.049999999999997">
      <c r="A50" s="1268" t="s">
        <v>188</v>
      </c>
      <c r="B50" s="1268" t="s">
        <v>189</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430</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431</v>
      </c>
      <c r="AS50" s="501"/>
      <c r="AT50" s="501" t="str">
        <f>IF(V50="","",V50)</f>
        <v>Территория действия тарифа</v>
      </c>
      <c r="AU50" s="501"/>
      <c r="AV50" s="501"/>
      <c r="AW50" s="1156">
        <v>21</v>
      </c>
    </row>
    <row customHeight="1" ht="24">
      <c r="A51" s="1268" t="s">
        <v>188</v>
      </c>
      <c r="B51" s="1268" t="s">
        <v>189</v>
      </c>
      <c r="C51" s="1268" t="s">
        <v>190</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432</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433</v>
      </c>
      <c r="AS51" s="501"/>
      <c r="AT51" s="501" t="str">
        <f>IF(V51="","",V51)</f>
        <v>Наименование системы теплоснабжения </v>
      </c>
      <c r="AU51" s="501"/>
      <c r="AV51" s="501"/>
      <c r="AW51" s="1156">
        <v>23</v>
      </c>
    </row>
    <row customHeight="1" ht="22.049999999999997">
      <c r="A52" s="1268" t="s">
        <v>188</v>
      </c>
      <c r="B52" s="1268" t="s">
        <v>189</v>
      </c>
      <c r="C52" s="1268" t="s">
        <v>190</v>
      </c>
      <c r="D52" s="1268" t="s">
        <v>191</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434</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435</v>
      </c>
      <c r="AS52" s="501"/>
      <c r="AT52" s="501" t="str">
        <f>IF(V52="","",V52)</f>
        <v>Источник тепловой энергии  </v>
      </c>
      <c r="AU52" s="501"/>
      <c r="AV52" s="501"/>
      <c r="AW52" s="1156">
        <v>21</v>
      </c>
    </row>
    <row s="1643" customFormat="1" customHeight="1" ht="0">
      <c r="A53" s="1376" t="s">
        <v>188</v>
      </c>
      <c r="B53" s="1376" t="s">
        <v>189</v>
      </c>
      <c r="C53" s="1376" t="s">
        <v>190</v>
      </c>
      <c r="D53" s="1376" t="s">
        <v>191</v>
      </c>
      <c r="E53" s="2291"/>
      <c r="F53" s="2291"/>
      <c r="G53" s="2291"/>
      <c r="H53" s="2312"/>
      <c r="I53" s="2128" t="str">
        <f>U52&amp;".1"</f>
        <v>....1</v>
      </c>
      <c r="J53" s="1376"/>
      <c r="K53" s="1376"/>
      <c r="L53" s="1376"/>
      <c r="M53" s="1382" t="s">
        <v>436</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188</v>
      </c>
      <c r="B54" s="1268" t="s">
        <v>189</v>
      </c>
      <c r="C54" s="1268" t="s">
        <v>190</v>
      </c>
      <c r="D54" s="1268" t="s">
        <v>191</v>
      </c>
      <c r="E54" s="2291"/>
      <c r="F54" s="2291"/>
      <c r="G54" s="2291"/>
      <c r="H54" s="2312"/>
      <c r="I54" s="2102"/>
      <c r="J54" s="2128" t="str">
        <f>I53&amp;".1"</f>
        <v>....1.1</v>
      </c>
      <c r="K54" s="1268"/>
      <c r="L54" s="1268"/>
      <c r="M54" s="1311" t="s">
        <v>439</v>
      </c>
      <c r="Q54" s="2258"/>
      <c r="R54" s="2258">
        <v>1</v>
      </c>
      <c r="S54" s="519"/>
      <c r="T54" s="358"/>
      <c r="U54" s="1337" t="str">
        <f>$J54</f>
        <v>....1.1</v>
      </c>
      <c r="V54" s="287" t="s">
        <v>440</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441</v>
      </c>
      <c r="AS54" s="501"/>
      <c r="AT54" s="501" t="str">
        <f>IF(V54="","",V54)</f>
        <v>Группа потребителей</v>
      </c>
      <c r="AU54" s="501"/>
      <c r="AV54" s="501"/>
      <c r="AW54" s="1156">
        <v>21</v>
      </c>
    </row>
    <row customHeight="1" ht="22.049999999999997">
      <c r="A55" s="1268" t="s">
        <v>188</v>
      </c>
      <c r="B55" s="1268" t="s">
        <v>189</v>
      </c>
      <c r="C55" s="1268" t="s">
        <v>190</v>
      </c>
      <c r="D55" s="1268" t="s">
        <v>191</v>
      </c>
      <c r="E55" s="2291"/>
      <c r="F55" s="2291"/>
      <c r="G55" s="2291"/>
      <c r="H55" s="2312"/>
      <c r="I55" s="2102"/>
      <c r="J55" s="2102"/>
      <c r="K55" s="2128" t="str">
        <f>J54&amp;".1"</f>
        <v>....1.1.1</v>
      </c>
      <c r="L55" s="140"/>
      <c r="M55" s="1311" t="s">
        <v>442</v>
      </c>
      <c r="Q55" s="2258"/>
      <c r="R55" s="2258"/>
      <c r="S55" s="519">
        <v>1</v>
      </c>
      <c r="T55" s="358"/>
      <c r="U55" s="1337" t="str">
        <f>$K55</f>
        <v>....1.1.1</v>
      </c>
      <c r="V55" s="1348"/>
      <c r="W55" s="301"/>
      <c r="X55" s="752"/>
      <c r="Y55" s="752"/>
      <c r="Z55" s="752"/>
      <c r="AA55" s="752"/>
      <c r="AB55" s="1406"/>
      <c r="AC55" s="2266"/>
      <c r="AD55" s="2108" t="s">
        <v>64</v>
      </c>
      <c r="AE55" s="2266"/>
      <c r="AF55" s="2108" t="s">
        <v>64</v>
      </c>
      <c r="AG55" s="1408"/>
      <c r="AH55" s="752"/>
      <c r="AI55" s="752"/>
      <c r="AJ55" s="752"/>
      <c r="AK55" s="1258"/>
      <c r="AL55" s="2266"/>
      <c r="AM55" s="2108" t="s">
        <v>64</v>
      </c>
      <c r="AN55" s="2266"/>
      <c r="AO55" s="2108" t="s">
        <v>64</v>
      </c>
      <c r="AP55" s="1349"/>
      <c r="AQ55" s="1308" t="s">
        <v>481</v>
      </c>
      <c r="AR55" s="512">
        <f>STRCHECKDATE(X57:AP57)</f>
      </c>
      <c r="AS55" s="501"/>
      <c r="AT55" s="501" t="str">
        <f>IF(V55="","",V55)</f>
        <v/>
      </c>
      <c r="AU55" s="501"/>
      <c r="AV55" s="501"/>
      <c r="AW55" s="1156">
        <v>21</v>
      </c>
    </row>
    <row customHeight="1" ht="11.549999999999999">
      <c r="A56" s="1268" t="s">
        <v>188</v>
      </c>
      <c r="B56" s="1268" t="s">
        <v>189</v>
      </c>
      <c r="C56" s="1268" t="s">
        <v>190</v>
      </c>
      <c r="D56" s="1268" t="s">
        <v>191</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482</v>
      </c>
      <c r="AR56" s="512">
        <f>STRCHECKDATE(X58:AP58)</f>
      </c>
      <c r="AS56" s="501"/>
      <c r="AT56" s="501" t="str">
        <f>IF(V56="","",V56)</f>
        <v/>
      </c>
      <c r="AU56" s="501"/>
      <c r="AV56" s="501"/>
      <c r="AW56" s="1156">
        <v>11</v>
      </c>
    </row>
    <row customHeight="1" ht="0">
      <c r="A57" s="1268" t="s">
        <v>188</v>
      </c>
      <c r="B57" s="1268" t="s">
        <v>189</v>
      </c>
      <c r="C57" s="1268" t="s">
        <v>190</v>
      </c>
      <c r="D57" s="1268" t="s">
        <v>191</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188</v>
      </c>
      <c r="B58" s="1268" t="s">
        <v>189</v>
      </c>
      <c r="C58" s="1268" t="s">
        <v>190</v>
      </c>
      <c r="D58" s="1268" t="s">
        <v>191</v>
      </c>
      <c r="E58" s="2291"/>
      <c r="F58" s="2291"/>
      <c r="G58" s="2291"/>
      <c r="H58" s="2312"/>
      <c r="I58" s="2102"/>
      <c r="J58" s="2102"/>
      <c r="K58" s="2128"/>
      <c r="L58" s="1268"/>
      <c r="M58" s="1311"/>
      <c r="Q58" s="2258"/>
      <c r="R58" s="2258"/>
      <c r="S58" s="1332"/>
      <c r="T58" s="357"/>
      <c r="U58" s="1279"/>
      <c r="V58" s="289" t="s">
        <v>483</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188</v>
      </c>
      <c r="B59" s="1268" t="s">
        <v>189</v>
      </c>
      <c r="C59" s="1268" t="s">
        <v>190</v>
      </c>
      <c r="D59" s="1268" t="s">
        <v>191</v>
      </c>
      <c r="E59" s="2291"/>
      <c r="F59" s="2291"/>
      <c r="G59" s="2291"/>
      <c r="H59" s="2312"/>
      <c r="I59" s="2102"/>
      <c r="J59" s="2128"/>
      <c r="K59" s="1268"/>
      <c r="L59" s="1268"/>
      <c r="M59" s="1311"/>
      <c r="Q59" s="2258"/>
      <c r="R59" s="2258"/>
      <c r="S59" s="1332"/>
      <c r="T59" s="357"/>
      <c r="U59" s="1279"/>
      <c r="V59" s="288" t="s">
        <v>444</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188</v>
      </c>
      <c r="B60" s="1268" t="s">
        <v>189</v>
      </c>
      <c r="C60" s="1268" t="s">
        <v>190</v>
      </c>
      <c r="D60" s="1268" t="s">
        <v>191</v>
      </c>
      <c r="E60" s="2291"/>
      <c r="F60" s="2291"/>
      <c r="G60" s="2291"/>
      <c r="H60" s="2312"/>
      <c r="I60" s="2128"/>
      <c r="J60" s="1268"/>
      <c r="K60" s="1268"/>
      <c r="L60" s="1268"/>
      <c r="M60" s="1311"/>
      <c r="Q60" s="2258"/>
      <c r="R60" s="1332"/>
      <c r="S60" s="1332"/>
      <c r="T60" s="357"/>
      <c r="U60" s="1279"/>
      <c r="V60" s="366" t="s">
        <v>445</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188</v>
      </c>
      <c r="B61" s="1268" t="s">
        <v>189</v>
      </c>
      <c r="C61" s="1268" t="s">
        <v>190</v>
      </c>
      <c r="D61" s="1268" t="s">
        <v>191</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188</v>
      </c>
      <c r="B62" s="1376" t="s">
        <v>189</v>
      </c>
      <c r="C62" s="1376" t="s">
        <v>190</v>
      </c>
      <c r="D62" s="1375"/>
      <c r="E62" s="2291"/>
      <c r="F62" s="2291"/>
      <c r="G62" s="2290"/>
      <c r="H62" s="1375"/>
      <c r="I62" s="1375"/>
      <c r="J62" s="1375"/>
      <c r="K62" s="1375"/>
      <c r="L62" s="1375"/>
      <c r="M62" s="1378"/>
      <c r="N62" s="1379"/>
      <c r="O62" s="1379"/>
      <c r="P62" s="352"/>
      <c r="Q62" s="1317"/>
      <c r="R62" s="1318"/>
      <c r="S62" s="1317"/>
      <c r="T62" s="1317"/>
      <c r="U62" s="1323"/>
      <c r="V62" s="1326" t="s">
        <v>218</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188</v>
      </c>
      <c r="B63" s="1376" t="s">
        <v>189</v>
      </c>
      <c r="C63" s="1375"/>
      <c r="D63" s="1375"/>
      <c r="E63" s="2291"/>
      <c r="F63" s="2290"/>
      <c r="G63" s="1375"/>
      <c r="H63" s="1375"/>
      <c r="I63" s="1375"/>
      <c r="J63" s="1375"/>
      <c r="K63" s="1375"/>
      <c r="L63" s="1375"/>
      <c r="M63" s="1378"/>
      <c r="N63" s="1380"/>
      <c r="O63" s="1380"/>
      <c r="P63" s="352"/>
      <c r="Q63" s="1317"/>
      <c r="R63" s="1318"/>
      <c r="S63" s="1317"/>
      <c r="T63" s="1317"/>
      <c r="U63" s="1323"/>
      <c r="V63" s="1326" t="s">
        <v>219</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188</v>
      </c>
      <c r="B64" s="1376"/>
      <c r="C64" s="1376"/>
      <c r="D64" s="1376"/>
      <c r="E64" s="2290"/>
      <c r="F64" s="1376"/>
      <c r="G64" s="1376"/>
      <c r="H64" s="1376"/>
      <c r="I64" s="1376"/>
      <c r="J64" s="1376"/>
      <c r="K64" s="1376"/>
      <c r="L64" s="1376"/>
      <c r="M64" s="1382"/>
      <c r="N64" s="1380"/>
      <c r="O64" s="1380"/>
      <c r="P64" s="352"/>
      <c r="Q64" s="381"/>
      <c r="R64" s="1345"/>
      <c r="S64" s="381"/>
      <c r="T64" s="381"/>
      <c r="U64" s="1323"/>
      <c r="V64" s="1326" t="s">
        <v>227</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236</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85</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668C96-F895-9A28-15CA-92060089E198}" mc:Ignorable="x14ac xr xr2 xr3">
  <sheetPr>
    <tabColor theme="6" tint="0.4"/>
  </sheetPr>
  <dimension ref="A1:BA128"/>
  <sheetViews>
    <sheetView showGridLines="0" zoomScale="90" workbookViewId="0">
      <pane xSplit="27" ySplit="44" topLeftCell="AB99" activePane="bottomRight" state="frozen"/>
      <selection pane="bottomLeft" activeCell="A45" sqref="A45"/>
      <selection pane="topRight" activeCell="AB1" sqref="AB1"/>
      <selection pane="bottomRight" activeCell="AQ112" sqref="AQ112"/>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137</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429</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430</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431</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432</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433</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434</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435</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436</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64</v>
      </c>
      <c r="Z8" s="2266"/>
      <c r="AA8" s="2108" t="s">
        <v>64</v>
      </c>
      <c r="AB8" s="2108" t="s">
        <v>19</v>
      </c>
      <c r="AC8" s="2327"/>
      <c r="AD8" s="2206">
        <v>1</v>
      </c>
      <c r="AE8" s="2328"/>
      <c r="AF8" s="2108" t="s">
        <v>19</v>
      </c>
      <c r="AG8" s="2327"/>
      <c r="AH8" s="2206">
        <v>1</v>
      </c>
      <c r="AI8" s="2328"/>
      <c r="AJ8" s="2108" t="s">
        <v>19</v>
      </c>
      <c r="AK8" s="312"/>
      <c r="AL8" s="1338">
        <v>1</v>
      </c>
      <c r="AM8" s="1399"/>
      <c r="AN8" s="752"/>
      <c r="AO8" s="1258"/>
      <c r="AP8" s="1735"/>
      <c r="AQ8" s="1460" t="s">
        <v>64</v>
      </c>
      <c r="AR8" s="1735"/>
      <c r="AS8" s="1460" t="s">
        <v>64</v>
      </c>
      <c r="AT8" s="1349"/>
      <c r="AU8" s="2254" t="s">
        <v>493</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494</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495</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496</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497</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218</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219</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227</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64</v>
      </c>
      <c r="AR19" s="1737"/>
      <c r="AS19" s="1461" t="s">
        <v>64</v>
      </c>
      <c r="BA19" s="1156">
        <v>0</v>
      </c>
    </row>
    <row customHeight="1" ht="14.25" hidden="1">
      <c r="AV20" s="497"/>
      <c r="AW20" s="497"/>
      <c r="AX20" s="497"/>
      <c r="AY20" s="497"/>
      <c r="AZ20" s="497"/>
      <c r="BA20" s="1156">
        <v>0</v>
      </c>
    </row>
    <row customHeight="1" ht="14.25" hidden="1">
      <c r="O21" s="1368" t="s">
        <v>447</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448</v>
      </c>
      <c r="P23" s="1509"/>
      <c r="Q23" s="1511"/>
      <c r="R23" s="1511"/>
      <c r="Y23" s="1508" t="s">
        <v>450</v>
      </c>
      <c r="AA23" s="1508" t="s">
        <v>451</v>
      </c>
      <c r="AB23" s="1508" t="s">
        <v>498</v>
      </c>
      <c r="AE23" s="1508" t="s">
        <v>499</v>
      </c>
      <c r="AF23" s="1508" t="s">
        <v>498</v>
      </c>
      <c r="AI23" s="1508" t="s">
        <v>500</v>
      </c>
      <c r="AJ23" s="1508" t="s">
        <v>498</v>
      </c>
      <c r="AM23" s="1508" t="s">
        <v>501</v>
      </c>
      <c r="AQ23" s="1508" t="s">
        <v>450</v>
      </c>
      <c r="AS23" s="1508" t="s">
        <v>451</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КГУП "Примтеплоэнерго"</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Агентство по тарифам Приморского края</v>
      </c>
      <c r="W30" s="2252"/>
      <c r="X30" s="2252"/>
      <c r="Y30" s="2252"/>
      <c r="Z30" s="2252"/>
      <c r="AA30" s="327"/>
      <c r="AB30" s="2252" t="str">
        <f>IF(TITLE_NAME_OR_PR_CHANGE="",IF(TITLE_NAME_OR_PR="","",TITLE_NAME_OR_PR),TITLE_NAME_OR_PR_CHANGE)</f>
        <v>Агентство по тарифам Приморского края</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c r="A31" s="1369"/>
      <c r="B31" s="1369"/>
      <c r="C31" s="1369"/>
      <c r="D31" s="1369"/>
      <c r="E31" s="1369"/>
      <c r="F31" s="1369"/>
      <c r="G31" s="1369"/>
      <c r="H31" s="1369"/>
      <c r="I31" s="1369"/>
      <c r="J31" s="1369"/>
      <c r="K31" s="1369"/>
      <c r="L31" s="1370"/>
      <c r="M31" s="1369"/>
      <c r="N31" s="1369"/>
      <c r="O31" s="1369"/>
      <c r="P31" s="1369"/>
      <c r="Q31" s="1369"/>
      <c r="S31" s="2251" t="s">
        <v>453</v>
      </c>
      <c r="T31" s="2251"/>
      <c r="U31" s="1373"/>
      <c r="V31" s="2265" t="str">
        <f>IF(TITLE_DATE_PR_CHANGE="",IF(TITLE_DATE_PR="","",TITLE_DATE_PR),TITLE_DATE_PR_CHANGE)</f>
        <v>45777.43633101852</v>
      </c>
      <c r="W31" s="2265"/>
      <c r="X31" s="2265"/>
      <c r="Y31" s="2265"/>
      <c r="Z31" s="2265"/>
      <c r="AA31" s="327"/>
      <c r="AB31" s="2265" t="str">
        <f>IF(TITLE_DATE_PR_CHANGE="",IF(TITLE_DATE_PR="","",TITLE_DATE_PR),TITLE_DATE_PR_CHANGE)</f>
        <v>45777.43633101852</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c r="A32" s="1369"/>
      <c r="B32" s="1369"/>
      <c r="C32" s="1369"/>
      <c r="D32" s="1369"/>
      <c r="E32" s="1369"/>
      <c r="F32" s="1369"/>
      <c r="G32" s="1369"/>
      <c r="H32" s="1369"/>
      <c r="I32" s="1369"/>
      <c r="J32" s="1369"/>
      <c r="K32" s="1369"/>
      <c r="L32" s="1370"/>
      <c r="M32" s="1369"/>
      <c r="N32" s="1369"/>
      <c r="O32" s="1369"/>
      <c r="P32" s="1369"/>
      <c r="Q32" s="1369"/>
      <c r="S32" s="2251" t="s">
        <v>454</v>
      </c>
      <c r="T32" s="2251"/>
      <c r="U32" s="1373"/>
      <c r="V32" s="2252" t="str">
        <f>IF(TITLE_NUMBER_PR_CHANGE="",IF(TITLE_NUMBER_PR="","",TITLE_NUMBER_PR),TITLE_NUMBER_PR_CHANGE)</f>
        <v>17-1</v>
      </c>
      <c r="W32" s="2252"/>
      <c r="X32" s="2252"/>
      <c r="Y32" s="2252"/>
      <c r="Z32" s="2252"/>
      <c r="AA32" s="327"/>
      <c r="AB32" s="2252" t="str">
        <f>IF(TITLE_NUMBER_PR_CHANGE="",IF(TITLE_NUMBER_PR="","",TITLE_NUMBER_PR),TITLE_NUMBER_PR_CHANGE)</f>
        <v>17-1</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c r="A33" s="1369"/>
      <c r="B33" s="1369"/>
      <c r="C33" s="1369"/>
      <c r="D33" s="1369"/>
      <c r="E33" s="1369"/>
      <c r="F33" s="1369"/>
      <c r="G33" s="1369"/>
      <c r="H33" s="1369"/>
      <c r="I33" s="1369"/>
      <c r="J33" s="1369"/>
      <c r="K33" s="1369"/>
      <c r="L33" s="1370"/>
      <c r="M33" s="1369"/>
      <c r="N33" s="1369"/>
      <c r="O33" s="1369"/>
      <c r="P33" s="1369"/>
      <c r="Q33" s="1369"/>
      <c r="S33" s="2251" t="s">
        <v>44</v>
      </c>
      <c r="T33" s="2251"/>
      <c r="U33" s="1373"/>
      <c r="V33" s="2252" t="str">
        <f>IF(TITLE_IST_PUB_CHANGE="",IF(TITLE_IST_PUB="","",TITLE_IST_PUB),TITLE_IST_PUB_CHANGE)</f>
        <v>http://pravo.gov.ru</v>
      </c>
      <c r="W33" s="2252"/>
      <c r="X33" s="2252"/>
      <c r="Y33" s="2252"/>
      <c r="Z33" s="2252"/>
      <c r="AA33" s="327"/>
      <c r="AB33" s="2252" t="str">
        <f>IF(TITLE_IST_PUB_CHANGE="",IF(TITLE_IST_PUB="","",TITLE_IST_PUB),TITLE_IST_PUB_CHANGE)</f>
        <v>http://pravo.gov.ru</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453</v>
      </c>
      <c r="T35" s="2251"/>
      <c r="U35" s="1373"/>
      <c r="V35" s="2265" t="str">
        <f>IF(TITLE_DATE_PR_CHANGE="",IF(TITLE_DATE_PR="","",TITLE_DATE_PR),TITLE_DATE_PR_CHANGE)</f>
        <v>45777.43633101852</v>
      </c>
      <c r="W35" s="2265"/>
      <c r="X35" s="2265"/>
      <c r="Y35" s="2265"/>
      <c r="Z35" s="2265"/>
      <c r="AA35" s="327"/>
      <c r="AB35" s="2265" t="str">
        <f>IF(TITLE_DATE_PR_CHANGE="",IF(TITLE_DATE_PR="","",TITLE_DATE_PR),TITLE_DATE_PR_CHANGE)</f>
        <v>45777.43633101852</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454</v>
      </c>
      <c r="T36" s="2251"/>
      <c r="U36" s="1373"/>
      <c r="V36" s="2252" t="str">
        <f>IF(TITLE_NUMBER_PR_CHANGE="",IF(TITLE_NUMBER_PR="","",TITLE_NUMBER_PR),TITLE_NUMBER_PR_CHANGE)</f>
        <v>17-1</v>
      </c>
      <c r="W36" s="2252"/>
      <c r="X36" s="2252"/>
      <c r="Y36" s="2252"/>
      <c r="Z36" s="2252"/>
      <c r="AA36" s="327"/>
      <c r="AB36" s="2252" t="str">
        <f>IF(TITLE_NUMBER_PR_CHANGE="",IF(TITLE_NUMBER_PR="","",TITLE_NUMBER_PR),TITLE_NUMBER_PR_CHANGE)</f>
        <v>17-1</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457</v>
      </c>
      <c r="AB37" s="327"/>
      <c r="AC37" s="327"/>
      <c r="AD37" s="327"/>
      <c r="AE37" s="327"/>
      <c r="AF37" s="327"/>
      <c r="AG37" s="327"/>
      <c r="AH37" s="327"/>
      <c r="AI37" s="327"/>
      <c r="AJ37" s="327"/>
      <c r="AK37" s="327"/>
      <c r="AL37" s="327"/>
      <c r="AM37" s="327"/>
      <c r="AN37" s="327"/>
      <c r="AO37" s="327"/>
      <c r="AP37" s="327"/>
      <c r="AQ37" s="327"/>
      <c r="AR37" s="327"/>
      <c r="AS37" s="279" t="s">
        <v>457</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333</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334</v>
      </c>
      <c r="BA39" s="1156">
        <v>14</v>
      </c>
    </row>
    <row customHeight="1" ht="14.699999999999998">
      <c r="Q40" s="292"/>
      <c r="R40" s="377"/>
      <c r="S40" s="2274" t="s">
        <v>91</v>
      </c>
      <c r="T40" s="2210" t="s">
        <v>502</v>
      </c>
      <c r="U40" s="302"/>
      <c r="V40" s="2276"/>
      <c r="W40" s="2276"/>
      <c r="X40" s="2276"/>
      <c r="Y40" s="2276"/>
      <c r="Z40" s="2277"/>
      <c r="AA40" s="2337" t="s">
        <v>460</v>
      </c>
      <c r="AB40" s="2329" t="s">
        <v>503</v>
      </c>
      <c r="AC40" s="2292"/>
      <c r="AD40" s="2292"/>
      <c r="AE40" s="2330"/>
      <c r="AF40" s="2292" t="s">
        <v>504</v>
      </c>
      <c r="AG40" s="2292"/>
      <c r="AH40" s="2292"/>
      <c r="AI40" s="2330"/>
      <c r="AJ40" s="2329" t="s">
        <v>505</v>
      </c>
      <c r="AK40" s="2292"/>
      <c r="AL40" s="2292"/>
      <c r="AM40" s="2330"/>
      <c r="AN40" s="2329" t="s">
        <v>459</v>
      </c>
      <c r="AO40" s="2292"/>
      <c r="AP40" s="2276"/>
      <c r="AQ40" s="2276"/>
      <c r="AR40" s="2277"/>
      <c r="AS40" s="2278" t="s">
        <v>460</v>
      </c>
      <c r="AT40" s="2281" t="s">
        <v>462</v>
      </c>
      <c r="AU40" s="2128"/>
      <c r="BA40" s="1156">
        <v>14</v>
      </c>
    </row>
    <row customHeight="1" ht="35.699999999999996">
      <c r="Q41" s="292"/>
      <c r="R41" s="377"/>
      <c r="S41" s="2274"/>
      <c r="T41" s="2210"/>
      <c r="U41" s="1032"/>
      <c r="V41" s="2128" t="s">
        <v>506</v>
      </c>
      <c r="W41" s="2128"/>
      <c r="X41" s="2295" t="s">
        <v>466</v>
      </c>
      <c r="Y41" s="2314"/>
      <c r="Z41" s="2315"/>
      <c r="AA41" s="2338"/>
      <c r="AB41" s="2331"/>
      <c r="AC41" s="2332"/>
      <c r="AD41" s="2332"/>
      <c r="AE41" s="2333"/>
      <c r="AF41" s="2332"/>
      <c r="AG41" s="2332"/>
      <c r="AH41" s="2332"/>
      <c r="AI41" s="2333"/>
      <c r="AJ41" s="2331"/>
      <c r="AK41" s="2332"/>
      <c r="AL41" s="2332"/>
      <c r="AM41" s="2332"/>
      <c r="AN41" s="2128" t="s">
        <v>506</v>
      </c>
      <c r="AO41" s="2128"/>
      <c r="AP41" s="2314" t="s">
        <v>466</v>
      </c>
      <c r="AQ41" s="2314"/>
      <c r="AR41" s="2315"/>
      <c r="AS41" s="2279"/>
      <c r="AT41" s="2282"/>
      <c r="AU41" s="2128"/>
      <c r="BA41" s="1156">
        <v>34</v>
      </c>
    </row>
    <row customHeight="1" ht="15">
      <c r="Q42" s="292"/>
      <c r="R42" s="377"/>
      <c r="S42" s="2274"/>
      <c r="T42" s="2210"/>
      <c r="U42" s="1032"/>
      <c r="V42" s="2341" t="str">
        <f>IF($AN$42&lt;&gt;"",$AN$42,"")</f>
        <v>тыс.руб./Гкал/ч</v>
      </c>
      <c r="W42" s="2341"/>
      <c r="X42" s="2296"/>
      <c r="Y42" s="2316"/>
      <c r="Z42" s="2317"/>
      <c r="AA42" s="2338"/>
      <c r="AB42" s="2331"/>
      <c r="AC42" s="2332"/>
      <c r="AD42" s="2332"/>
      <c r="AE42" s="2333"/>
      <c r="AF42" s="2332"/>
      <c r="AG42" s="2332"/>
      <c r="AH42" s="2332"/>
      <c r="AI42" s="2333"/>
      <c r="AJ42" s="2331"/>
      <c r="AK42" s="2332"/>
      <c r="AL42" s="2332"/>
      <c r="AM42" s="2332"/>
      <c r="AN42" s="2340" t="s">
        <v>507</v>
      </c>
      <c r="AO42" s="2340"/>
      <c r="AP42" s="2316"/>
      <c r="AQ42" s="2316"/>
      <c r="AR42" s="2317"/>
      <c r="AS42" s="2279"/>
      <c r="AT42" s="2282"/>
      <c r="AU42" s="2128"/>
      <c r="BA42" s="1156">
        <v>14</v>
      </c>
    </row>
    <row customHeight="1" ht="14.699999999999998">
      <c r="A43" s="1371"/>
      <c r="B43" s="1371" t="s">
        <v>149</v>
      </c>
      <c r="C43" s="1371" t="s">
        <v>150</v>
      </c>
      <c r="D43" s="1371" t="s">
        <v>151</v>
      </c>
      <c r="E43" s="1365" t="s">
        <v>467</v>
      </c>
      <c r="F43" s="1365" t="s">
        <v>468</v>
      </c>
      <c r="G43" s="1365" t="s">
        <v>469</v>
      </c>
      <c r="H43" s="1365" t="s">
        <v>470</v>
      </c>
      <c r="I43" s="1365" t="s">
        <v>471</v>
      </c>
      <c r="J43" s="1365" t="s">
        <v>472</v>
      </c>
      <c r="K43" s="1365" t="s">
        <v>473</v>
      </c>
      <c r="L43" s="1365" t="s">
        <v>448</v>
      </c>
      <c r="Q43" s="292"/>
      <c r="R43" s="377"/>
      <c r="S43" s="2274"/>
      <c r="T43" s="2210"/>
      <c r="U43" s="303"/>
      <c r="V43" s="1331" t="s">
        <v>508</v>
      </c>
      <c r="W43" s="1331" t="s">
        <v>509</v>
      </c>
      <c r="X43" s="1339" t="s">
        <v>476</v>
      </c>
      <c r="Y43" s="2271" t="s">
        <v>477</v>
      </c>
      <c r="Z43" s="2272"/>
      <c r="AA43" s="2339"/>
      <c r="AB43" s="2334"/>
      <c r="AC43" s="2335"/>
      <c r="AD43" s="2335"/>
      <c r="AE43" s="2336"/>
      <c r="AF43" s="2335"/>
      <c r="AG43" s="2335"/>
      <c r="AH43" s="2335"/>
      <c r="AI43" s="2336"/>
      <c r="AJ43" s="2334"/>
      <c r="AK43" s="2335"/>
      <c r="AL43" s="2335"/>
      <c r="AM43" s="2336"/>
      <c r="AN43" s="1861" t="s">
        <v>508</v>
      </c>
      <c r="AO43" s="1861" t="s">
        <v>509</v>
      </c>
      <c r="AP43" s="1339" t="s">
        <v>476</v>
      </c>
      <c r="AQ43" s="2271" t="s">
        <v>477</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124</v>
      </c>
      <c r="T44" s="1256" t="s">
        <v>107</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214</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1</v>
      </c>
      <c r="T45" s="299" t="s">
        <v>137</v>
      </c>
      <c r="U45" s="301"/>
      <c r="V45" s="2244"/>
      <c r="W45" s="2244"/>
      <c r="X45" s="2244"/>
      <c r="Y45" s="2244"/>
      <c r="Z45" s="2244"/>
      <c r="AA45" s="2245"/>
      <c r="AB45" s="2243" t="str">
        <f>INDEX(PT_DIFFERENTIATION_NTAR,MATCH(A45,PT_DIFFERENTIATION_NTAR_ID,0))</f>
        <v>Расходы на проведение мероприятий по подключению объектов заявителей</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1"/>
      <c r="AX45" s="501" t="str">
        <f>IF(T45="","",T45)</f>
        <v>Наименование тарифа</v>
      </c>
      <c r="AY45" s="501"/>
      <c r="AZ45" s="501"/>
      <c r="BA45" s="1156">
        <v>102</v>
      </c>
    </row>
    <row customHeight="1" ht="22.049999999999997">
      <c r="A46" s="1364" t="s">
        <v>214</v>
      </c>
      <c r="B46" s="1364" t="s">
        <v>215</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1.1</v>
      </c>
      <c r="T46" s="309" t="s">
        <v>430</v>
      </c>
      <c r="U46" s="301"/>
      <c r="V46" s="2244"/>
      <c r="W46" s="2244"/>
      <c r="X46" s="2244"/>
      <c r="Y46" s="2244"/>
      <c r="Z46" s="2244"/>
      <c r="AA46" s="2245"/>
      <c r="AB46" s="2243" t="str">
        <f>INDEX(PT_DIFFERENTIATION_TER,MATCH(B46,PT_DIFFERENTIATION_TER_ID,0))</f>
        <v>Территория 1</v>
      </c>
      <c r="AC46" s="2244"/>
      <c r="AD46" s="2244"/>
      <c r="AE46" s="2244"/>
      <c r="AF46" s="2244"/>
      <c r="AG46" s="2244"/>
      <c r="AH46" s="2244"/>
      <c r="AI46" s="2244"/>
      <c r="AJ46" s="2244"/>
      <c r="AK46" s="2244"/>
      <c r="AL46" s="2244"/>
      <c r="AM46" s="2244"/>
      <c r="AN46" s="2244"/>
      <c r="AO46" s="2244"/>
      <c r="AP46" s="2244"/>
      <c r="AQ46" s="2244"/>
      <c r="AR46" s="2244"/>
      <c r="AS46" s="2244"/>
      <c r="AT46" s="2245"/>
      <c r="AU46" s="1259" t="s">
        <v>431</v>
      </c>
      <c r="AW46" s="501"/>
      <c r="AX46" s="501" t="str">
        <f>IF(T46="","",T46)</f>
        <v>Территория действия тарифа</v>
      </c>
      <c r="AY46" s="501"/>
      <c r="AZ46" s="501"/>
      <c r="BA46" s="1156">
        <v>21</v>
      </c>
    </row>
    <row customHeight="1" ht="24">
      <c r="A47" s="1364" t="s">
        <v>214</v>
      </c>
      <c r="B47" s="1364" t="s">
        <v>215</v>
      </c>
      <c r="C47" s="1364" t="s">
        <v>216</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1.1.1</v>
      </c>
      <c r="T47" s="310" t="s">
        <v>432</v>
      </c>
      <c r="U47" s="301"/>
      <c r="V47" s="2244"/>
      <c r="W47" s="2244"/>
      <c r="X47" s="2244"/>
      <c r="Y47" s="2244"/>
      <c r="Z47" s="2244"/>
      <c r="AA47" s="2245"/>
      <c r="AB47" s="2243" t="str">
        <f>INDEX(PT_DIFFERENTIATION_CS,MATCH(C47,PT_DIFFERENTIATION_CS_ID,0))</f>
        <v>Горноключевское городское поселение</v>
      </c>
      <c r="AC47" s="2244"/>
      <c r="AD47" s="2244"/>
      <c r="AE47" s="2244"/>
      <c r="AF47" s="2244"/>
      <c r="AG47" s="2244"/>
      <c r="AH47" s="2244"/>
      <c r="AI47" s="2244"/>
      <c r="AJ47" s="2244"/>
      <c r="AK47" s="2244"/>
      <c r="AL47" s="2244"/>
      <c r="AM47" s="2244"/>
      <c r="AN47" s="2244"/>
      <c r="AO47" s="2244"/>
      <c r="AP47" s="2244"/>
      <c r="AQ47" s="2244"/>
      <c r="AR47" s="2244"/>
      <c r="AS47" s="2244"/>
      <c r="AT47" s="2245"/>
      <c r="AU47" s="1259" t="s">
        <v>433</v>
      </c>
      <c r="AW47" s="501"/>
      <c r="AX47" s="501" t="str">
        <f>IF(T47="","",T47)</f>
        <v>Наименование системы теплоснабжения </v>
      </c>
      <c r="AY47" s="501"/>
      <c r="AZ47" s="501"/>
      <c r="BA47" s="1156">
        <v>23</v>
      </c>
    </row>
    <row customHeight="1" ht="21">
      <c r="A48" s="1364" t="s">
        <v>214</v>
      </c>
      <c r="B48" s="1364" t="s">
        <v>215</v>
      </c>
      <c r="C48" s="1364" t="s">
        <v>216</v>
      </c>
      <c r="D48" s="1364" t="s">
        <v>217</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1.1.1.1</v>
      </c>
      <c r="T48" s="311" t="s">
        <v>434</v>
      </c>
      <c r="U48" s="301"/>
      <c r="V48" s="2244"/>
      <c r="W48" s="2244"/>
      <c r="X48" s="2244"/>
      <c r="Y48" s="2244"/>
      <c r="Z48" s="2244"/>
      <c r="AA48" s="2245"/>
      <c r="AB48" s="2243" t="str">
        <f>INDEX(PT_DIFFERENTIATION_IST_TE,MATCH(D48,PT_DIFFERENTIATION_IST_TE_ID,0))</f>
        <v>без дифференциации</v>
      </c>
      <c r="AC48" s="2244"/>
      <c r="AD48" s="2244"/>
      <c r="AE48" s="2244"/>
      <c r="AF48" s="2244"/>
      <c r="AG48" s="2244"/>
      <c r="AH48" s="2244"/>
      <c r="AI48" s="2244"/>
      <c r="AJ48" s="2244"/>
      <c r="AK48" s="2244"/>
      <c r="AL48" s="2244"/>
      <c r="AM48" s="2244"/>
      <c r="AN48" s="2244"/>
      <c r="AO48" s="2244"/>
      <c r="AP48" s="2244"/>
      <c r="AQ48" s="2244"/>
      <c r="AR48" s="2244"/>
      <c r="AS48" s="2244"/>
      <c r="AT48" s="2245"/>
      <c r="AU48" s="1259" t="s">
        <v>435</v>
      </c>
      <c r="AW48" s="501"/>
      <c r="AX48" s="501" t="str">
        <f>IF(T48="","",T48)</f>
        <v>Источник тепловой энергии  </v>
      </c>
      <c r="AY48" s="501"/>
      <c r="AZ48" s="501"/>
      <c r="BA48" s="1156">
        <v>20</v>
      </c>
    </row>
    <row s="1643" customFormat="1" customHeight="1" ht="1.05">
      <c r="A49" s="1344" t="s">
        <v>214</v>
      </c>
      <c r="B49" s="1344" t="s">
        <v>215</v>
      </c>
      <c r="C49" s="1344" t="s">
        <v>216</v>
      </c>
      <c r="D49" s="1344" t="s">
        <v>217</v>
      </c>
      <c r="E49" s="2260"/>
      <c r="F49" s="2260"/>
      <c r="G49" s="2260"/>
      <c r="H49" s="2260"/>
      <c r="I49" s="2257" t="str">
        <f>S48&amp;".1"</f>
        <v>1.1.1.1.1</v>
      </c>
      <c r="J49" s="1344"/>
      <c r="K49" s="1344"/>
      <c r="L49" s="1347" t="s">
        <v>436</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214</v>
      </c>
      <c r="B50" s="1344" t="s">
        <v>215</v>
      </c>
      <c r="C50" s="1344" t="s">
        <v>216</v>
      </c>
      <c r="D50" s="1344" t="s">
        <v>217</v>
      </c>
      <c r="E50" s="2260"/>
      <c r="F50" s="2260"/>
      <c r="G50" s="2260"/>
      <c r="H50" s="2260"/>
      <c r="I50" s="2287"/>
      <c r="J50" s="2257" t="str">
        <f>S48&amp;".1"</f>
        <v>1.1.1.1.1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214</v>
      </c>
      <c r="B51" s="1364" t="s">
        <v>215</v>
      </c>
      <c r="C51" s="1364" t="s">
        <v>216</v>
      </c>
      <c r="D51" s="1364" t="s">
        <v>217</v>
      </c>
      <c r="E51" s="2260"/>
      <c r="F51" s="2260"/>
      <c r="G51" s="2260"/>
      <c r="H51" s="2260"/>
      <c r="I51" s="2287"/>
      <c r="J51" s="2287"/>
      <c r="K51" s="2257" t="str">
        <f>S48&amp;".1"</f>
        <v>1.1.1.1.1</v>
      </c>
      <c r="L51" s="1365"/>
      <c r="P51" s="2258"/>
      <c r="Q51" s="2258"/>
      <c r="R51" s="358">
        <v>1</v>
      </c>
      <c r="S51" s="2342" t="str">
        <f>$K51</f>
        <v>1.1.1.1.1</v>
      </c>
      <c r="T51" s="2345" t="s">
        <v>510</v>
      </c>
      <c r="U51" s="301"/>
      <c r="V51" s="752"/>
      <c r="W51" s="1258"/>
      <c r="X51" s="1735"/>
      <c r="Y51" s="1460" t="s">
        <v>64</v>
      </c>
      <c r="Z51" s="1735"/>
      <c r="AA51" s="1460" t="s">
        <v>64</v>
      </c>
      <c r="AB51" s="2108" t="s">
        <v>19</v>
      </c>
      <c r="AC51" s="2327"/>
      <c r="AD51" s="2206">
        <v>1</v>
      </c>
      <c r="AE51" s="2349" t="s">
        <v>28</v>
      </c>
      <c r="AF51" s="2108" t="s">
        <v>19</v>
      </c>
      <c r="AG51" s="2327"/>
      <c r="AH51" s="2206">
        <v>1</v>
      </c>
      <c r="AI51" s="2349" t="s">
        <v>28</v>
      </c>
      <c r="AJ51" s="2108" t="s">
        <v>19</v>
      </c>
      <c r="AK51" s="312"/>
      <c r="AL51" s="1338">
        <v>1</v>
      </c>
      <c r="AM51" s="1403"/>
      <c r="AN51" s="752"/>
      <c r="AO51" s="1258">
        <v>1851.667</v>
      </c>
      <c r="AP51" s="2603">
        <v>45730.47684027778</v>
      </c>
      <c r="AQ51" s="1460" t="s">
        <v>64</v>
      </c>
      <c r="AR51" s="2603">
        <v>46022</v>
      </c>
      <c r="AS51" s="1460" t="s">
        <v>64</v>
      </c>
      <c r="AT51" s="1349"/>
      <c r="AU51" s="2254" t="s">
        <v>511</v>
      </c>
      <c r="AV51" s="512">
        <f>STRCHECKDATE(V54:AT54)</f>
      </c>
      <c r="AW51" s="501"/>
      <c r="AX51" s="501" t="str">
        <f>IF(T51="","",T51)</f>
        <v>Котельная</v>
      </c>
      <c r="AY51" s="501"/>
      <c r="AZ51" s="501"/>
      <c r="BA51" s="1156">
        <v>21</v>
      </c>
    </row>
    <row customHeight="1" ht="11.549999999999999">
      <c r="A52" s="1364" t="s">
        <v>214</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494</v>
      </c>
      <c r="AN52" s="1394"/>
      <c r="AO52" s="1497"/>
      <c r="AP52" s="1394"/>
      <c r="AQ52" s="1394"/>
      <c r="AR52" s="1394"/>
      <c r="AS52" s="1394"/>
      <c r="AT52" s="1391"/>
      <c r="AU52" s="2255"/>
      <c r="AW52" s="501"/>
      <c r="AX52" s="501"/>
      <c r="AY52" s="501"/>
      <c r="AZ52" s="501"/>
      <c r="BA52" s="1156">
        <v>11</v>
      </c>
    </row>
    <row customHeight="1" ht="11.549999999999999">
      <c r="A53" s="1364" t="s">
        <v>214</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495</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214</v>
      </c>
      <c r="B54" s="1364" t="s">
        <v>215</v>
      </c>
      <c r="C54" s="1364" t="s">
        <v>216</v>
      </c>
      <c r="D54" s="1364" t="s">
        <v>217</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496</v>
      </c>
      <c r="AF54" s="1394"/>
      <c r="AG54" s="1394"/>
      <c r="AH54" s="1394"/>
      <c r="AI54" s="1394"/>
      <c r="AJ54" s="1394"/>
      <c r="AK54" s="1394"/>
      <c r="AL54" s="1394"/>
      <c r="AM54" s="1394"/>
      <c r="AN54" s="1394"/>
      <c r="AO54" s="1395" t="str">
        <f>AP51&amp;"-"&amp;AR51</f>
        <v>45730.47684027778-46022</v>
      </c>
      <c r="AP54" s="1394"/>
      <c r="AQ54" s="1394"/>
      <c r="AR54" s="1394"/>
      <c r="AS54" s="1394"/>
      <c r="AT54" s="1350"/>
      <c r="AU54" s="2255"/>
      <c r="AW54" s="501"/>
      <c r="AX54" s="501" t="str">
        <f>IF(T54="","",T54)</f>
        <v/>
      </c>
      <c r="AY54" s="501"/>
      <c r="AZ54" s="501"/>
      <c r="BA54" s="1156">
        <v>11</v>
      </c>
    </row>
    <row customHeight="1" ht="11.549999999999999">
      <c r="A55" s="1364" t="s">
        <v>214</v>
      </c>
      <c r="B55" s="1364" t="s">
        <v>215</v>
      </c>
      <c r="C55" s="1364" t="s">
        <v>216</v>
      </c>
      <c r="D55" s="1364" t="s">
        <v>217</v>
      </c>
      <c r="E55" s="2260"/>
      <c r="F55" s="2260"/>
      <c r="G55" s="2260"/>
      <c r="H55" s="2260"/>
      <c r="I55" s="2287"/>
      <c r="J55" s="2257"/>
      <c r="K55" s="1364"/>
      <c r="L55" s="1365"/>
      <c r="P55" s="2258"/>
      <c r="Q55" s="2258"/>
      <c r="R55" s="357"/>
      <c r="S55" s="1279"/>
      <c r="T55" s="288" t="s">
        <v>497</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214</v>
      </c>
      <c r="B56" s="1344" t="s">
        <v>215</v>
      </c>
      <c r="C56" s="1344" t="s">
        <v>216</v>
      </c>
      <c r="D56" s="1344" t="s">
        <v>217</v>
      </c>
      <c r="E56" s="2260"/>
      <c r="F56" s="2260"/>
      <c r="G56" s="2260"/>
      <c r="H56" s="2260"/>
      <c r="I56" s="2257"/>
      <c r="J56" s="1344"/>
      <c r="K56" s="1344"/>
      <c r="L56" s="1347"/>
      <c r="M56" s="511"/>
      <c r="N56" s="511"/>
      <c r="O56" s="511"/>
      <c r="P56" s="2258"/>
      <c r="Q56" s="1332"/>
      <c r="R56" s="357"/>
      <c r="S56" s="1387"/>
      <c r="T56" s="1388" t="s">
        <v>445</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214</v>
      </c>
      <c r="B57" s="1344" t="s">
        <v>215</v>
      </c>
      <c r="C57" s="1344" t="s">
        <v>216</v>
      </c>
      <c r="D57" s="1344" t="s">
        <v>217</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214</v>
      </c>
      <c r="B58" s="1344" t="s">
        <v>215</v>
      </c>
      <c r="C58" s="1344" t="s">
        <v>216</v>
      </c>
      <c r="D58" s="1315"/>
      <c r="E58" s="2260"/>
      <c r="F58" s="2260"/>
      <c r="G58" s="2259"/>
      <c r="H58" s="1315"/>
      <c r="I58" s="1315"/>
      <c r="J58" s="1315"/>
      <c r="K58" s="1315"/>
      <c r="L58" s="1340"/>
      <c r="M58" s="1316"/>
      <c r="N58" s="1316"/>
      <c r="P58" s="1317"/>
      <c r="Q58" s="1318"/>
      <c r="R58" s="1317"/>
      <c r="S58" s="1323"/>
      <c r="T58" s="1326" t="s">
        <v>218</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214</v>
      </c>
      <c r="B59" s="1344" t="s">
        <v>215</v>
      </c>
      <c r="C59" s="1315"/>
      <c r="D59" s="1315"/>
      <c r="E59" s="2260"/>
      <c r="F59" s="2259"/>
      <c r="G59" s="1315"/>
      <c r="H59" s="1315"/>
      <c r="I59" s="1315"/>
      <c r="J59" s="1315"/>
      <c r="K59" s="1315"/>
      <c r="L59" s="1340"/>
      <c r="M59" s="1322"/>
      <c r="N59" s="1322"/>
      <c r="P59" s="1317"/>
      <c r="Q59" s="1318"/>
      <c r="R59" s="1317"/>
      <c r="S59" s="1323"/>
      <c r="T59" s="1326" t="s">
        <v>219</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214</v>
      </c>
      <c r="B60" s="1344"/>
      <c r="C60" s="1344"/>
      <c r="D60" s="1344"/>
      <c r="E60" s="2260"/>
      <c r="F60" s="1344"/>
      <c r="G60" s="1344"/>
      <c r="H60" s="1344"/>
      <c r="I60" s="1344"/>
      <c r="J60" s="1344"/>
      <c r="K60" s="1344"/>
      <c r="L60" s="1347"/>
      <c r="M60" s="1322"/>
      <c r="N60" s="1322"/>
      <c r="O60" s="519"/>
      <c r="P60" s="381"/>
      <c r="Q60" s="1345"/>
      <c r="R60" s="381"/>
      <c r="S60" s="1323"/>
      <c r="T60" s="1326" t="s">
        <v>227</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851" customFormat="1" customHeight="1" ht="21">
      <c r="A61" s="1364"/>
      <c r="B61" s="1364" t="s">
        <v>220</v>
      </c>
      <c r="C61" s="1364"/>
      <c r="D61" s="1364"/>
      <c r="E61" s="2260"/>
      <c r="F61" s="2259" t="s">
        <v>28</v>
      </c>
      <c r="G61" s="1364"/>
      <c r="H61" s="1364"/>
      <c r="I61" s="1364"/>
      <c r="J61" s="1364"/>
      <c r="K61" s="1364"/>
      <c r="L61" s="1370"/>
      <c r="M61" s="1366"/>
      <c r="N61" s="1366"/>
      <c r="O61" s="1366"/>
      <c r="P61" s="2608"/>
      <c r="Q61" s="1412"/>
      <c r="R61" s="354"/>
      <c r="S61" s="2274" t="str">
        <f>INDEX(PT_DIFFERENTIATION_NUM_TER,MATCH(B61,PT_DIFFERENTIATION_TER_ID,0))</f>
        <v>1.2</v>
      </c>
      <c r="T61" s="1523" t="s">
        <v>430</v>
      </c>
      <c r="U61" s="301"/>
      <c r="V61" s="2244"/>
      <c r="W61" s="2244"/>
      <c r="X61" s="2244"/>
      <c r="Y61" s="2244"/>
      <c r="Z61" s="2244"/>
      <c r="AA61" s="2245"/>
      <c r="AB61" s="2243" t="str">
        <f>INDEX(PT_DIFFERENTIATION_TER,MATCH(B61,PT_DIFFERENTIATION_TER_ID,0))</f>
        <v>Территория 2</v>
      </c>
      <c r="AC61" s="2244"/>
      <c r="AD61" s="2244"/>
      <c r="AE61" s="2244"/>
      <c r="AF61" s="2244"/>
      <c r="AG61" s="2244"/>
      <c r="AH61" s="2244"/>
      <c r="AI61" s="2244"/>
      <c r="AJ61" s="2244"/>
      <c r="AK61" s="2244"/>
      <c r="AL61" s="2244"/>
      <c r="AM61" s="2244"/>
      <c r="AN61" s="2244"/>
      <c r="AO61" s="2244"/>
      <c r="AP61" s="2244"/>
      <c r="AQ61" s="2244"/>
      <c r="AR61" s="2244"/>
      <c r="AS61" s="2244"/>
      <c r="AT61" s="2245"/>
      <c r="AU61" s="1259" t="s">
        <v>431</v>
      </c>
      <c r="AV61" s="1643"/>
      <c r="AW61" s="1625"/>
      <c r="AX61" s="1625" t="str">
        <f>IF(T61="","",T61)</f>
        <v>Территория действия тарифа</v>
      </c>
      <c r="AY61" s="1625"/>
      <c r="AZ61" s="1625"/>
      <c r="BA61" s="1636">
        <v>0</v>
      </c>
    </row>
    <row s="1851" customFormat="1" customHeight="1" ht="22.5">
      <c r="A62" s="1364"/>
      <c r="B62" s="1364"/>
      <c r="C62" s="1364" t="s">
        <v>221</v>
      </c>
      <c r="D62" s="1364"/>
      <c r="E62" s="2260"/>
      <c r="F62" s="2260" t="s">
        <v>28</v>
      </c>
      <c r="G62" s="2259">
        <v>1</v>
      </c>
      <c r="H62" s="1364"/>
      <c r="I62" s="1364"/>
      <c r="J62" s="1364"/>
      <c r="K62" s="1364"/>
      <c r="L62" s="1370"/>
      <c r="M62" s="1366"/>
      <c r="N62" s="1366"/>
      <c r="O62" s="1366"/>
      <c r="P62" s="1413"/>
      <c r="Q62" s="1412"/>
      <c r="R62" s="354"/>
      <c r="S62" s="2274" t="str">
        <f>INDEX(PT_DIFFERENTIATION_NUM_CS,MATCH(C62,PT_DIFFERENTIATION_CS_ID,0))</f>
        <v>1.2.1</v>
      </c>
      <c r="T62" s="310" t="s">
        <v>432</v>
      </c>
      <c r="U62" s="301"/>
      <c r="V62" s="2244"/>
      <c r="W62" s="2244"/>
      <c r="X62" s="2244"/>
      <c r="Y62" s="2244"/>
      <c r="Z62" s="2244"/>
      <c r="AA62" s="2245"/>
      <c r="AB62" s="2243" t="str">
        <f>INDEX(PT_DIFFERENTIATION_CS,MATCH(C62,PT_DIFFERENTIATION_CS_ID,0))</f>
        <v>Хасанский муниципальный округ</v>
      </c>
      <c r="AC62" s="2244"/>
      <c r="AD62" s="2244"/>
      <c r="AE62" s="2244"/>
      <c r="AF62" s="2244"/>
      <c r="AG62" s="2244"/>
      <c r="AH62" s="2244"/>
      <c r="AI62" s="2244"/>
      <c r="AJ62" s="2244"/>
      <c r="AK62" s="2244"/>
      <c r="AL62" s="2244"/>
      <c r="AM62" s="2244"/>
      <c r="AN62" s="2244"/>
      <c r="AO62" s="2244"/>
      <c r="AP62" s="2244"/>
      <c r="AQ62" s="2244"/>
      <c r="AR62" s="2244"/>
      <c r="AS62" s="2244"/>
      <c r="AT62" s="2245"/>
      <c r="AU62" s="1259" t="s">
        <v>433</v>
      </c>
      <c r="AV62" s="1643"/>
      <c r="AW62" s="1625"/>
      <c r="AX62" s="1625" t="str">
        <f>IF(T62="","",T62)</f>
        <v>Наименование системы теплоснабжения </v>
      </c>
      <c r="AY62" s="1625"/>
      <c r="AZ62" s="1625"/>
      <c r="BA62" s="1636">
        <v>0</v>
      </c>
    </row>
    <row s="1851" customFormat="1" customHeight="1" ht="21">
      <c r="A63" s="1364"/>
      <c r="B63" s="1364"/>
      <c r="C63" s="1364"/>
      <c r="D63" s="1364" t="s">
        <v>222</v>
      </c>
      <c r="E63" s="2260"/>
      <c r="F63" s="2260" t="s">
        <v>28</v>
      </c>
      <c r="G63" s="2260"/>
      <c r="H63" s="2259">
        <v>1</v>
      </c>
      <c r="I63" s="1364"/>
      <c r="J63" s="1364"/>
      <c r="K63" s="1364"/>
      <c r="L63" s="1370"/>
      <c r="M63" s="1366"/>
      <c r="N63" s="1366"/>
      <c r="O63" s="1366"/>
      <c r="P63" s="1413"/>
      <c r="Q63" s="1412"/>
      <c r="R63" s="354"/>
      <c r="S63" s="2274" t="str">
        <f>INDEX(PT_DIFFERENTIATION_NUM_IST_TE,MATCH(D63,PT_DIFFERENTIATION_IST_TE_ID,0))</f>
        <v>1.2.1.1</v>
      </c>
      <c r="T63" s="311" t="s">
        <v>434</v>
      </c>
      <c r="U63" s="301"/>
      <c r="V63" s="2244"/>
      <c r="W63" s="2244"/>
      <c r="X63" s="2244"/>
      <c r="Y63" s="2244"/>
      <c r="Z63" s="2244"/>
      <c r="AA63" s="2245"/>
      <c r="AB63" s="2243" t="str">
        <f>INDEX(PT_DIFFERENTIATION_IST_TE,MATCH(D63,PT_DIFFERENTIATION_IST_TE_ID,0))</f>
        <v>без дифференциации</v>
      </c>
      <c r="AC63" s="2244"/>
      <c r="AD63" s="2244"/>
      <c r="AE63" s="2244"/>
      <c r="AF63" s="2244"/>
      <c r="AG63" s="2244"/>
      <c r="AH63" s="2244"/>
      <c r="AI63" s="2244"/>
      <c r="AJ63" s="2244"/>
      <c r="AK63" s="2244"/>
      <c r="AL63" s="2244"/>
      <c r="AM63" s="2244"/>
      <c r="AN63" s="2244"/>
      <c r="AO63" s="2244"/>
      <c r="AP63" s="2244"/>
      <c r="AQ63" s="2244"/>
      <c r="AR63" s="2244"/>
      <c r="AS63" s="2244"/>
      <c r="AT63" s="2245"/>
      <c r="AU63" s="1259" t="s">
        <v>435</v>
      </c>
      <c r="AV63" s="1643"/>
      <c r="AW63" s="1625"/>
      <c r="AX63" s="1625" t="str">
        <f>IF(T63="","",T63)</f>
        <v>Источник тепловой энергии  </v>
      </c>
      <c r="AY63" s="1625"/>
      <c r="AZ63" s="1625"/>
      <c r="BA63" s="1636">
        <v>0</v>
      </c>
    </row>
    <row s="623" customFormat="1" customHeight="1" ht="0.75">
      <c r="A64" s="1344"/>
      <c r="B64" s="1344"/>
      <c r="C64" s="1344"/>
      <c r="D64" s="1344"/>
      <c r="E64" s="2260"/>
      <c r="F64" s="2260" t="s">
        <v>28</v>
      </c>
      <c r="G64" s="2260"/>
      <c r="H64" s="2260"/>
      <c r="I64" s="2257" t="str">
        <f>S63&amp;".1"</f>
        <v>1.2.1.1.1</v>
      </c>
      <c r="J64" s="1344"/>
      <c r="K64" s="1344"/>
      <c r="L64" s="1546" t="s">
        <v>436</v>
      </c>
      <c r="M64" s="511"/>
      <c r="N64" s="511"/>
      <c r="O64" s="511"/>
      <c r="P64" s="2375">
        <v>1</v>
      </c>
      <c r="Q64" s="2375"/>
      <c r="R64" s="357"/>
      <c r="S64" s="2305"/>
      <c r="T64" s="1384"/>
      <c r="U64" s="1385"/>
      <c r="V64" s="2298"/>
      <c r="W64" s="2298"/>
      <c r="X64" s="2298"/>
      <c r="Y64" s="2298"/>
      <c r="Z64" s="2298"/>
      <c r="AA64" s="2299"/>
      <c r="AB64" s="2297"/>
      <c r="AC64" s="2298"/>
      <c r="AD64" s="2298"/>
      <c r="AE64" s="2298"/>
      <c r="AF64" s="2298"/>
      <c r="AG64" s="2298"/>
      <c r="AH64" s="2298"/>
      <c r="AI64" s="2298"/>
      <c r="AJ64" s="2298"/>
      <c r="AK64" s="2298"/>
      <c r="AL64" s="2298"/>
      <c r="AM64" s="2298"/>
      <c r="AN64" s="2298"/>
      <c r="AO64" s="2298"/>
      <c r="AP64" s="2298"/>
      <c r="AQ64" s="2298"/>
      <c r="AR64" s="2298"/>
      <c r="AS64" s="2298"/>
      <c r="AT64" s="2299"/>
      <c r="AU64" s="1386"/>
      <c r="AV64" s="1643"/>
      <c r="AW64" s="1625"/>
      <c r="AX64" s="1625" t="str">
        <f>IF(T64="","",T64)</f>
        <v/>
      </c>
      <c r="AY64" s="1625"/>
      <c r="AZ64" s="1625"/>
      <c r="BA64" s="1643">
        <v>0</v>
      </c>
    </row>
    <row s="623" customFormat="1" customHeight="1" ht="0.75">
      <c r="A65" s="1344"/>
      <c r="B65" s="1344"/>
      <c r="C65" s="1344"/>
      <c r="D65" s="1344"/>
      <c r="E65" s="2260"/>
      <c r="F65" s="2260" t="s">
        <v>28</v>
      </c>
      <c r="G65" s="2260"/>
      <c r="H65" s="2260"/>
      <c r="I65" s="2287"/>
      <c r="J65" s="2257" t="str">
        <f>S63&amp;".1"</f>
        <v>1.2.1.1.1</v>
      </c>
      <c r="K65" s="1344"/>
      <c r="L65" s="1546"/>
      <c r="M65" s="511"/>
      <c r="N65" s="511"/>
      <c r="O65" s="511"/>
      <c r="P65" s="2375"/>
      <c r="Q65" s="2375">
        <v>1</v>
      </c>
      <c r="R65" s="358"/>
      <c r="S65" s="2305"/>
      <c r="T65" s="1400"/>
      <c r="U65" s="1385"/>
      <c r="V65" s="2298"/>
      <c r="W65" s="2298"/>
      <c r="X65" s="2298"/>
      <c r="Y65" s="2298"/>
      <c r="Z65" s="2298"/>
      <c r="AA65" s="2299"/>
      <c r="AB65" s="2297"/>
      <c r="AC65" s="2298"/>
      <c r="AD65" s="2298"/>
      <c r="AE65" s="2298"/>
      <c r="AF65" s="2298"/>
      <c r="AG65" s="2298"/>
      <c r="AH65" s="2298"/>
      <c r="AI65" s="2298"/>
      <c r="AJ65" s="2298"/>
      <c r="AK65" s="2298"/>
      <c r="AL65" s="2298"/>
      <c r="AM65" s="2298"/>
      <c r="AN65" s="2298"/>
      <c r="AO65" s="2298"/>
      <c r="AP65" s="2298"/>
      <c r="AQ65" s="2298"/>
      <c r="AR65" s="2298"/>
      <c r="AS65" s="2298"/>
      <c r="AT65" s="2299"/>
      <c r="AU65" s="1386"/>
      <c r="AV65" s="1643"/>
      <c r="AW65" s="1625"/>
      <c r="AX65" s="1625" t="str">
        <f>IF(T65="","",T65)</f>
        <v/>
      </c>
      <c r="AY65" s="1625"/>
      <c r="AZ65" s="1625"/>
      <c r="BA65" s="1643">
        <v>0</v>
      </c>
    </row>
    <row s="1851" customFormat="1" customHeight="1" ht="21">
      <c r="A66" s="1364"/>
      <c r="B66" s="1364"/>
      <c r="C66" s="1364"/>
      <c r="D66" s="1364"/>
      <c r="E66" s="2260"/>
      <c r="F66" s="2260" t="s">
        <v>28</v>
      </c>
      <c r="G66" s="2260"/>
      <c r="H66" s="2260"/>
      <c r="I66" s="2287"/>
      <c r="J66" s="2287"/>
      <c r="K66" s="2257" t="str">
        <f>S63&amp;".1"</f>
        <v>1.2.1.1.1</v>
      </c>
      <c r="L66" s="1370"/>
      <c r="M66" s="1777"/>
      <c r="N66" s="1777"/>
      <c r="O66" s="1777"/>
      <c r="P66" s="2375"/>
      <c r="Q66" s="2375"/>
      <c r="R66" s="2348">
        <v>1</v>
      </c>
      <c r="S66" s="2342" t="str">
        <f>$K66</f>
        <v>1.2.1.1.1</v>
      </c>
      <c r="T66" s="2345" t="s">
        <v>510</v>
      </c>
      <c r="U66" s="301"/>
      <c r="V66" s="752"/>
      <c r="W66" s="1258"/>
      <c r="X66" s="2603"/>
      <c r="Y66" s="2108" t="s">
        <v>64</v>
      </c>
      <c r="Z66" s="2603"/>
      <c r="AA66" s="2108" t="s">
        <v>64</v>
      </c>
      <c r="AB66" s="2108" t="s">
        <v>19</v>
      </c>
      <c r="AC66" s="2327"/>
      <c r="AD66" s="2438">
        <v>1</v>
      </c>
      <c r="AE66" s="2349" t="s">
        <v>28</v>
      </c>
      <c r="AF66" s="2108" t="s">
        <v>19</v>
      </c>
      <c r="AG66" s="2327"/>
      <c r="AH66" s="2438">
        <v>1</v>
      </c>
      <c r="AI66" s="2349" t="s">
        <v>28</v>
      </c>
      <c r="AJ66" s="2108" t="s">
        <v>19</v>
      </c>
      <c r="AK66" s="312"/>
      <c r="AL66" s="2438">
        <v>1</v>
      </c>
      <c r="AM66" s="1525" t="s">
        <v>28</v>
      </c>
      <c r="AN66" s="752"/>
      <c r="AO66" s="1258">
        <v>29.69</v>
      </c>
      <c r="AP66" s="2603">
        <v>45730</v>
      </c>
      <c r="AQ66" s="2108" t="s">
        <v>64</v>
      </c>
      <c r="AR66" s="2603">
        <v>46022.476956018516</v>
      </c>
      <c r="AS66" s="2108" t="s">
        <v>64</v>
      </c>
      <c r="AT66" s="1349"/>
      <c r="AU66" s="2254" t="s">
        <v>493</v>
      </c>
      <c r="AV66" s="1643">
        <f>STRCHECKDATE(V69:AT69)</f>
      </c>
      <c r="AW66" s="1625"/>
      <c r="AX66" s="1625" t="str">
        <f>IF(T66="","",T66)</f>
        <v>Котельная</v>
      </c>
      <c r="AY66" s="1625"/>
      <c r="AZ66" s="1625"/>
      <c r="BA66" s="1636">
        <v>0</v>
      </c>
    </row>
    <row s="1851" customFormat="1" customHeight="1" ht="11.25">
      <c r="A67" s="1364"/>
      <c r="B67" s="1364"/>
      <c r="C67" s="1364"/>
      <c r="D67" s="1364"/>
      <c r="E67" s="2260"/>
      <c r="F67" s="2260" t="s">
        <v>28</v>
      </c>
      <c r="G67" s="2260"/>
      <c r="H67" s="2260"/>
      <c r="I67" s="2287"/>
      <c r="J67" s="2287"/>
      <c r="K67" s="2257"/>
      <c r="L67" s="1370"/>
      <c r="M67" s="1777"/>
      <c r="N67" s="1777"/>
      <c r="O67" s="1777"/>
      <c r="P67" s="2375"/>
      <c r="Q67" s="2375"/>
      <c r="R67" s="2348"/>
      <c r="S67" s="2343"/>
      <c r="T67" s="2346"/>
      <c r="U67" s="301"/>
      <c r="V67" s="2676"/>
      <c r="W67" s="2677"/>
      <c r="X67" s="2603"/>
      <c r="Y67" s="2108"/>
      <c r="Z67" s="2603"/>
      <c r="AA67" s="2108"/>
      <c r="AB67" s="2108"/>
      <c r="AC67" s="2327"/>
      <c r="AD67" s="2438"/>
      <c r="AE67" s="2349" t="s">
        <v>28</v>
      </c>
      <c r="AF67" s="2108"/>
      <c r="AG67" s="2327"/>
      <c r="AH67" s="2438"/>
      <c r="AI67" s="2349" t="s">
        <v>28</v>
      </c>
      <c r="AJ67" s="2108"/>
      <c r="AK67" s="2678"/>
      <c r="AL67" s="2679"/>
      <c r="AM67" s="2680" t="s">
        <v>494</v>
      </c>
      <c r="AN67" s="2681"/>
      <c r="AO67" s="2682"/>
      <c r="AP67" s="2683"/>
      <c r="AQ67" s="2684"/>
      <c r="AR67" s="2685"/>
      <c r="AS67" s="2686"/>
      <c r="AT67" s="1391"/>
      <c r="AU67" s="2255"/>
      <c r="AV67" s="1643"/>
      <c r="AW67" s="1625"/>
      <c r="AX67" s="1625"/>
      <c r="AY67" s="1625"/>
      <c r="AZ67" s="1625"/>
      <c r="BA67" s="1636">
        <v>0</v>
      </c>
    </row>
    <row s="1851" customFormat="1" customHeight="1" ht="11.25">
      <c r="A68" s="1364"/>
      <c r="B68" s="1364"/>
      <c r="C68" s="1364"/>
      <c r="D68" s="1364"/>
      <c r="E68" s="2260"/>
      <c r="F68" s="2260" t="s">
        <v>28</v>
      </c>
      <c r="G68" s="2260"/>
      <c r="H68" s="2260"/>
      <c r="I68" s="2287"/>
      <c r="J68" s="2287"/>
      <c r="K68" s="2257"/>
      <c r="L68" s="1370"/>
      <c r="M68" s="1777"/>
      <c r="N68" s="1777"/>
      <c r="O68" s="1777"/>
      <c r="P68" s="2375"/>
      <c r="Q68" s="2375"/>
      <c r="R68" s="2348"/>
      <c r="S68" s="2343"/>
      <c r="T68" s="2346"/>
      <c r="U68" s="301"/>
      <c r="V68" s="2687"/>
      <c r="W68" s="2688"/>
      <c r="X68" s="2603"/>
      <c r="Y68" s="2108"/>
      <c r="Z68" s="2603"/>
      <c r="AA68" s="2108"/>
      <c r="AB68" s="2108"/>
      <c r="AC68" s="2327"/>
      <c r="AD68" s="2438"/>
      <c r="AE68" s="2349" t="s">
        <v>28</v>
      </c>
      <c r="AF68" s="2108"/>
      <c r="AG68" s="2689"/>
      <c r="AH68" s="2690"/>
      <c r="AI68" s="2691" t="s">
        <v>495</v>
      </c>
      <c r="AJ68" s="2692"/>
      <c r="AK68" s="2693"/>
      <c r="AL68" s="2694"/>
      <c r="AM68" s="2695"/>
      <c r="AN68" s="2696"/>
      <c r="AO68" s="2697"/>
      <c r="AP68" s="2698"/>
      <c r="AQ68" s="2699"/>
      <c r="AR68" s="2700"/>
      <c r="AS68" s="2701"/>
      <c r="AT68" s="1391"/>
      <c r="AU68" s="2255"/>
      <c r="AV68" s="1643"/>
      <c r="AW68" s="1625"/>
      <c r="AX68" s="1625"/>
      <c r="AY68" s="1625"/>
      <c r="AZ68" s="1625"/>
      <c r="BA68" s="1636">
        <v>0</v>
      </c>
    </row>
    <row s="1851" customFormat="1" customHeight="1" ht="11.25">
      <c r="A69" s="1364"/>
      <c r="B69" s="1364"/>
      <c r="C69" s="1364"/>
      <c r="D69" s="1364"/>
      <c r="E69" s="2260"/>
      <c r="F69" s="2260" t="s">
        <v>28</v>
      </c>
      <c r="G69" s="2260"/>
      <c r="H69" s="2260"/>
      <c r="I69" s="2287"/>
      <c r="J69" s="2287"/>
      <c r="K69" s="2257"/>
      <c r="L69" s="1370"/>
      <c r="M69" s="1777"/>
      <c r="N69" s="1777"/>
      <c r="O69" s="1777"/>
      <c r="P69" s="2375"/>
      <c r="Q69" s="2375"/>
      <c r="R69" s="2348"/>
      <c r="S69" s="2344"/>
      <c r="T69" s="2347"/>
      <c r="U69" s="301"/>
      <c r="V69" s="2702"/>
      <c r="W69" s="2703" t="str">
        <f>X66&amp;"-"&amp;Z66</f>
        <v>-</v>
      </c>
      <c r="X69" s="2310"/>
      <c r="Y69" s="2108"/>
      <c r="Z69" s="2310"/>
      <c r="AA69" s="2108"/>
      <c r="AB69" s="2108"/>
      <c r="AC69" s="2704"/>
      <c r="AD69" s="2705"/>
      <c r="AE69" s="2706" t="s">
        <v>496</v>
      </c>
      <c r="AF69" s="2707"/>
      <c r="AG69" s="2708"/>
      <c r="AH69" s="2709"/>
      <c r="AI69" s="2710"/>
      <c r="AJ69" s="2711"/>
      <c r="AK69" s="2712"/>
      <c r="AL69" s="2713"/>
      <c r="AM69" s="2714"/>
      <c r="AN69" s="2715"/>
      <c r="AO69" s="2716" t="str">
        <f>AP66&amp;"-"&amp;AR66</f>
        <v>45730-46022.476956018516</v>
      </c>
      <c r="AP69" s="2717"/>
      <c r="AQ69" s="2718"/>
      <c r="AR69" s="2719"/>
      <c r="AS69" s="2720"/>
      <c r="AT69" s="1350"/>
      <c r="AU69" s="2255"/>
      <c r="AV69" s="1643"/>
      <c r="AW69" s="1625"/>
      <c r="AX69" s="1625" t="str">
        <f>IF(T69="","",T69)</f>
        <v/>
      </c>
      <c r="AY69" s="1625"/>
      <c r="AZ69" s="1625"/>
      <c r="BA69" s="1636">
        <v>0</v>
      </c>
    </row>
    <row s="1851" customFormat="1" customHeight="1" ht="11.25">
      <c r="A70" s="1364"/>
      <c r="B70" s="1364"/>
      <c r="C70" s="1364"/>
      <c r="D70" s="1364"/>
      <c r="E70" s="2260"/>
      <c r="F70" s="2260" t="s">
        <v>28</v>
      </c>
      <c r="G70" s="2260"/>
      <c r="H70" s="2260"/>
      <c r="I70" s="2287"/>
      <c r="J70" s="2257"/>
      <c r="K70" s="1364"/>
      <c r="L70" s="1370"/>
      <c r="M70" s="1777"/>
      <c r="N70" s="1777"/>
      <c r="O70" s="1777"/>
      <c r="P70" s="2375"/>
      <c r="Q70" s="2375"/>
      <c r="R70" s="357"/>
      <c r="S70" s="2721"/>
      <c r="T70" s="2722" t="s">
        <v>497</v>
      </c>
      <c r="U70" s="2723"/>
      <c r="V70" s="2724"/>
      <c r="W70" s="2725"/>
      <c r="X70" s="2726"/>
      <c r="Y70" s="2727"/>
      <c r="Z70" s="2728"/>
      <c r="AA70" s="2729"/>
      <c r="AB70" s="2730"/>
      <c r="AC70" s="2731"/>
      <c r="AD70" s="2732"/>
      <c r="AE70" s="2733"/>
      <c r="AF70" s="2734"/>
      <c r="AG70" s="2735"/>
      <c r="AH70" s="2736"/>
      <c r="AI70" s="2737"/>
      <c r="AJ70" s="2738"/>
      <c r="AK70" s="2739"/>
      <c r="AL70" s="2740"/>
      <c r="AM70" s="2741"/>
      <c r="AN70" s="2742"/>
      <c r="AO70" s="2743"/>
      <c r="AP70" s="2744"/>
      <c r="AQ70" s="2745"/>
      <c r="AR70" s="2746"/>
      <c r="AS70" s="2747"/>
      <c r="AT70" s="2748"/>
      <c r="AU70" s="2256"/>
      <c r="AV70" s="1643"/>
      <c r="AW70" s="1625"/>
      <c r="AX70" s="1625" t="str">
        <f>IF(T70="","",T70)</f>
        <v>Добавить строку</v>
      </c>
      <c r="AY70" s="1625"/>
      <c r="AZ70" s="1625"/>
      <c r="BA70" s="1636">
        <v>0</v>
      </c>
    </row>
    <row s="623" customFormat="1" customHeight="1" ht="0.75">
      <c r="A71" s="1344"/>
      <c r="B71" s="1344"/>
      <c r="C71" s="1344"/>
      <c r="D71" s="1344"/>
      <c r="E71" s="2260"/>
      <c r="F71" s="2260" t="s">
        <v>28</v>
      </c>
      <c r="G71" s="2260"/>
      <c r="H71" s="2260"/>
      <c r="I71" s="2257"/>
      <c r="J71" s="1344"/>
      <c r="K71" s="1344"/>
      <c r="L71" s="1546"/>
      <c r="M71" s="511"/>
      <c r="N71" s="511"/>
      <c r="O71" s="511"/>
      <c r="P71" s="2375"/>
      <c r="Q71" s="2375"/>
      <c r="R71" s="357"/>
      <c r="S71" s="1387"/>
      <c r="T71" s="1388"/>
      <c r="U71" s="1389"/>
      <c r="V71" s="1389"/>
      <c r="W71" s="1389"/>
      <c r="X71" s="1389"/>
      <c r="Y71" s="1389"/>
      <c r="Z71" s="1389"/>
      <c r="AA71" s="1389"/>
      <c r="AB71" s="1389"/>
      <c r="AC71" s="1389"/>
      <c r="AD71" s="1389"/>
      <c r="AE71" s="1389"/>
      <c r="AF71" s="1389"/>
      <c r="AG71" s="1389"/>
      <c r="AH71" s="1389"/>
      <c r="AI71" s="1389"/>
      <c r="AJ71" s="1389"/>
      <c r="AK71" s="1389"/>
      <c r="AL71" s="1389"/>
      <c r="AM71" s="1389"/>
      <c r="AN71" s="1389"/>
      <c r="AO71" s="1389"/>
      <c r="AP71" s="1389"/>
      <c r="AQ71" s="1389"/>
      <c r="AR71" s="1389"/>
      <c r="AS71" s="1389"/>
      <c r="AT71" s="1389"/>
      <c r="AU71" s="1390"/>
      <c r="AV71" s="1643"/>
      <c r="AW71" s="1625"/>
      <c r="AX71" s="1625" t="str">
        <f>IF(T71="","",T71)</f>
        <v/>
      </c>
      <c r="AY71" s="1625"/>
      <c r="AZ71" s="1625"/>
      <c r="BA71" s="1643">
        <v>0</v>
      </c>
    </row>
    <row s="623" customFormat="1" customHeight="1" ht="0.75">
      <c r="A72" s="1344"/>
      <c r="B72" s="1344"/>
      <c r="C72" s="1344"/>
      <c r="D72" s="1344"/>
      <c r="E72" s="2260"/>
      <c r="F72" s="2260" t="s">
        <v>28</v>
      </c>
      <c r="G72" s="2260"/>
      <c r="H72" s="2259"/>
      <c r="I72" s="1344"/>
      <c r="J72" s="1344"/>
      <c r="K72" s="1344"/>
      <c r="L72" s="1546"/>
      <c r="M72" s="1316"/>
      <c r="N72" s="1316"/>
      <c r="O72" s="1643"/>
      <c r="P72" s="1317"/>
      <c r="Q72" s="1345"/>
      <c r="R72" s="1402"/>
      <c r="S72" s="1387"/>
      <c r="T72" s="1388"/>
      <c r="U72" s="1389"/>
      <c r="V72" s="1389"/>
      <c r="W72" s="1389"/>
      <c r="X72" s="1389"/>
      <c r="Y72" s="1389"/>
      <c r="Z72" s="1389"/>
      <c r="AA72" s="1389"/>
      <c r="AB72" s="1389"/>
      <c r="AC72" s="1389"/>
      <c r="AD72" s="1389"/>
      <c r="AE72" s="1389"/>
      <c r="AF72" s="1389"/>
      <c r="AG72" s="1389"/>
      <c r="AH72" s="1389"/>
      <c r="AI72" s="1389"/>
      <c r="AJ72" s="1389"/>
      <c r="AK72" s="1389"/>
      <c r="AL72" s="1389"/>
      <c r="AM72" s="1389"/>
      <c r="AN72" s="1389"/>
      <c r="AO72" s="1389"/>
      <c r="AP72" s="1389"/>
      <c r="AQ72" s="1389"/>
      <c r="AR72" s="1389"/>
      <c r="AS72" s="1389"/>
      <c r="AT72" s="1389"/>
      <c r="AU72" s="1390"/>
      <c r="AV72" s="1643"/>
      <c r="AW72" s="1625"/>
      <c r="AX72" s="1625" t="str">
        <f>IF(T72="","",T72)</f>
        <v/>
      </c>
      <c r="AY72" s="1625"/>
      <c r="AZ72" s="1625"/>
      <c r="BA72" s="1643">
        <v>0</v>
      </c>
    </row>
    <row s="623" customFormat="1" customHeight="1" ht="0.75">
      <c r="A73" s="1344"/>
      <c r="B73" s="1344"/>
      <c r="C73" s="1344"/>
      <c r="D73" s="1344"/>
      <c r="E73" s="2260"/>
      <c r="F73" s="2260" t="s">
        <v>28</v>
      </c>
      <c r="G73" s="2259"/>
      <c r="H73" s="1344"/>
      <c r="I73" s="1344"/>
      <c r="J73" s="1344"/>
      <c r="K73" s="1344"/>
      <c r="L73" s="1546"/>
      <c r="M73" s="1316"/>
      <c r="N73" s="1316"/>
      <c r="O73" s="1643"/>
      <c r="P73" s="1317"/>
      <c r="Q73" s="1345"/>
      <c r="R73" s="1317"/>
      <c r="S73" s="1323"/>
      <c r="T73" s="1326" t="s">
        <v>218</v>
      </c>
      <c r="U73" s="1325"/>
      <c r="V73" s="1325"/>
      <c r="W73" s="1325"/>
      <c r="X73" s="1325"/>
      <c r="Y73" s="1325"/>
      <c r="Z73" s="1325"/>
      <c r="AA73" s="1325"/>
      <c r="AB73" s="1325"/>
      <c r="AC73" s="1325"/>
      <c r="AD73" s="1325"/>
      <c r="AE73" s="1325"/>
      <c r="AF73" s="1325"/>
      <c r="AG73" s="1325"/>
      <c r="AH73" s="1325"/>
      <c r="AI73" s="1325"/>
      <c r="AJ73" s="1325"/>
      <c r="AK73" s="1325"/>
      <c r="AL73" s="1325"/>
      <c r="AM73" s="1325"/>
      <c r="AN73" s="1325"/>
      <c r="AO73" s="1325"/>
      <c r="AP73" s="1325"/>
      <c r="AQ73" s="1325"/>
      <c r="AR73" s="1325"/>
      <c r="AS73" s="1325"/>
      <c r="AT73" s="1325"/>
      <c r="AU73" s="1325"/>
      <c r="AV73" s="1643"/>
      <c r="AW73" s="1625"/>
      <c r="AX73" s="1625" t="str">
        <f>IF(T73="","",T73)</f>
        <v>Добавить источник для дифференциации</v>
      </c>
      <c r="AY73" s="1625"/>
      <c r="AZ73" s="1625"/>
      <c r="BA73" s="1643">
        <v>0</v>
      </c>
    </row>
    <row s="623" customFormat="1" customHeight="1" ht="0.75">
      <c r="A74" s="1344"/>
      <c r="B74" s="1344"/>
      <c r="C74" s="1344"/>
      <c r="D74" s="1344"/>
      <c r="E74" s="2260"/>
      <c r="F74" s="2259" t="s">
        <v>28</v>
      </c>
      <c r="G74" s="1344"/>
      <c r="H74" s="1344"/>
      <c r="I74" s="1344"/>
      <c r="J74" s="1344"/>
      <c r="K74" s="1344"/>
      <c r="L74" s="1546"/>
      <c r="M74" s="1322"/>
      <c r="N74" s="1322"/>
      <c r="O74" s="1643"/>
      <c r="P74" s="1317"/>
      <c r="Q74" s="1345"/>
      <c r="R74" s="1317"/>
      <c r="S74" s="1323"/>
      <c r="T74" s="1326" t="s">
        <v>219</v>
      </c>
      <c r="U74" s="1325"/>
      <c r="V74" s="1325"/>
      <c r="W74" s="1325"/>
      <c r="X74" s="1325"/>
      <c r="Y74" s="1325"/>
      <c r="Z74" s="1325"/>
      <c r="AA74" s="1325"/>
      <c r="AB74" s="1325"/>
      <c r="AC74" s="1325"/>
      <c r="AD74" s="1325"/>
      <c r="AE74" s="1325"/>
      <c r="AF74" s="1325"/>
      <c r="AG74" s="1325"/>
      <c r="AH74" s="1325"/>
      <c r="AI74" s="1325"/>
      <c r="AJ74" s="1325"/>
      <c r="AK74" s="1325"/>
      <c r="AL74" s="1325"/>
      <c r="AM74" s="1325"/>
      <c r="AN74" s="1325"/>
      <c r="AO74" s="1325"/>
      <c r="AP74" s="1325"/>
      <c r="AQ74" s="1325"/>
      <c r="AR74" s="1325"/>
      <c r="AS74" s="1325"/>
      <c r="AT74" s="1325"/>
      <c r="AU74" s="1325"/>
      <c r="AV74" s="1643"/>
      <c r="AW74" s="1625"/>
      <c r="AX74" s="1625" t="str">
        <f>IF(T74="","",T74)</f>
        <v>Добавить централизованную систему для дифференциации</v>
      </c>
      <c r="AY74" s="1625"/>
      <c r="AZ74" s="1625"/>
      <c r="BA74" s="1643">
        <v>0</v>
      </c>
    </row>
    <row s="1851" customFormat="1" customHeight="1" ht="21">
      <c r="A75" s="1364"/>
      <c r="B75" s="1364" t="s">
        <v>224</v>
      </c>
      <c r="C75" s="1364"/>
      <c r="D75" s="1364"/>
      <c r="E75" s="2260"/>
      <c r="F75" s="2259" t="s">
        <v>28</v>
      </c>
      <c r="G75" s="1364"/>
      <c r="H75" s="1364"/>
      <c r="I75" s="1364"/>
      <c r="J75" s="1364"/>
      <c r="K75" s="1364"/>
      <c r="L75" s="1370"/>
      <c r="M75" s="1366"/>
      <c r="N75" s="1366"/>
      <c r="O75" s="1366"/>
      <c r="P75" s="2608"/>
      <c r="Q75" s="1412"/>
      <c r="R75" s="354"/>
      <c r="S75" s="2274" t="str">
        <f>INDEX(PT_DIFFERENTIATION_NUM_TER,MATCH(B75,PT_DIFFERENTIATION_TER_ID,0))</f>
        <v>1.3</v>
      </c>
      <c r="T75" s="1523" t="s">
        <v>430</v>
      </c>
      <c r="U75" s="301"/>
      <c r="V75" s="2244"/>
      <c r="W75" s="2244"/>
      <c r="X75" s="2244"/>
      <c r="Y75" s="2244"/>
      <c r="Z75" s="2244"/>
      <c r="AA75" s="2245"/>
      <c r="AB75" s="2243" t="str">
        <f>INDEX(PT_DIFFERENTIATION_TER,MATCH(B75,PT_DIFFERENTIATION_TER_ID,0))</f>
        <v>Территория 3</v>
      </c>
      <c r="AC75" s="2244"/>
      <c r="AD75" s="2244"/>
      <c r="AE75" s="2244"/>
      <c r="AF75" s="2244"/>
      <c r="AG75" s="2244"/>
      <c r="AH75" s="2244"/>
      <c r="AI75" s="2244"/>
      <c r="AJ75" s="2244"/>
      <c r="AK75" s="2244"/>
      <c r="AL75" s="2244"/>
      <c r="AM75" s="2244"/>
      <c r="AN75" s="2244"/>
      <c r="AO75" s="2244"/>
      <c r="AP75" s="2244"/>
      <c r="AQ75" s="2244"/>
      <c r="AR75" s="2244"/>
      <c r="AS75" s="2244"/>
      <c r="AT75" s="2245"/>
      <c r="AU75" s="1259" t="s">
        <v>431</v>
      </c>
      <c r="AV75" s="1643"/>
      <c r="AW75" s="1625"/>
      <c r="AX75" s="1625" t="str">
        <f>IF(T75="","",T75)</f>
        <v>Территория действия тарифа</v>
      </c>
      <c r="AY75" s="1625"/>
      <c r="AZ75" s="1625"/>
      <c r="BA75" s="1636">
        <v>0</v>
      </c>
    </row>
    <row s="1851" customFormat="1" customHeight="1" ht="22.5">
      <c r="A76" s="1364"/>
      <c r="B76" s="1364"/>
      <c r="C76" s="1364" t="s">
        <v>225</v>
      </c>
      <c r="D76" s="1364"/>
      <c r="E76" s="2260"/>
      <c r="F76" s="2260" t="s">
        <v>28</v>
      </c>
      <c r="G76" s="2259">
        <v>1</v>
      </c>
      <c r="H76" s="1364"/>
      <c r="I76" s="1364"/>
      <c r="J76" s="1364"/>
      <c r="K76" s="1364"/>
      <c r="L76" s="1370"/>
      <c r="M76" s="1366"/>
      <c r="N76" s="1366"/>
      <c r="O76" s="1366"/>
      <c r="P76" s="1413"/>
      <c r="Q76" s="1412"/>
      <c r="R76" s="354"/>
      <c r="S76" s="2274" t="str">
        <f>INDEX(PT_DIFFERENTIATION_NUM_CS,MATCH(C76,PT_DIFFERENTIATION_CS_ID,0))</f>
        <v>1.3.1</v>
      </c>
      <c r="T76" s="310" t="s">
        <v>432</v>
      </c>
      <c r="U76" s="301"/>
      <c r="V76" s="2244"/>
      <c r="W76" s="2244"/>
      <c r="X76" s="2244"/>
      <c r="Y76" s="2244"/>
      <c r="Z76" s="2244"/>
      <c r="AA76" s="2245"/>
      <c r="AB76" s="2243" t="str">
        <f>INDEX(PT_DIFFERENTIATION_CS,MATCH(C76,PT_DIFFERENTIATION_CS_ID,0))</f>
        <v>Рощинское сельское поселение с. Рощино</v>
      </c>
      <c r="AC76" s="2244"/>
      <c r="AD76" s="2244"/>
      <c r="AE76" s="2244"/>
      <c r="AF76" s="2244"/>
      <c r="AG76" s="2244"/>
      <c r="AH76" s="2244"/>
      <c r="AI76" s="2244"/>
      <c r="AJ76" s="2244"/>
      <c r="AK76" s="2244"/>
      <c r="AL76" s="2244"/>
      <c r="AM76" s="2244"/>
      <c r="AN76" s="2244"/>
      <c r="AO76" s="2244"/>
      <c r="AP76" s="2244"/>
      <c r="AQ76" s="2244"/>
      <c r="AR76" s="2244"/>
      <c r="AS76" s="2244"/>
      <c r="AT76" s="2245"/>
      <c r="AU76" s="1259" t="s">
        <v>433</v>
      </c>
      <c r="AV76" s="1643"/>
      <c r="AW76" s="1625"/>
      <c r="AX76" s="1625" t="str">
        <f>IF(T76="","",T76)</f>
        <v>Наименование системы теплоснабжения </v>
      </c>
      <c r="AY76" s="1625"/>
      <c r="AZ76" s="1625"/>
      <c r="BA76" s="1636">
        <v>0</v>
      </c>
    </row>
    <row s="1851" customFormat="1" customHeight="1" ht="21">
      <c r="A77" s="1364"/>
      <c r="B77" s="1364"/>
      <c r="C77" s="1364"/>
      <c r="D77" s="1364" t="s">
        <v>226</v>
      </c>
      <c r="E77" s="2260"/>
      <c r="F77" s="2260" t="s">
        <v>28</v>
      </c>
      <c r="G77" s="2260"/>
      <c r="H77" s="2259">
        <v>1</v>
      </c>
      <c r="I77" s="1364"/>
      <c r="J77" s="1364"/>
      <c r="K77" s="1364"/>
      <c r="L77" s="1370"/>
      <c r="M77" s="1366"/>
      <c r="N77" s="1366"/>
      <c r="O77" s="1366"/>
      <c r="P77" s="1413"/>
      <c r="Q77" s="1412"/>
      <c r="R77" s="354"/>
      <c r="S77" s="2274" t="str">
        <f>INDEX(PT_DIFFERENTIATION_NUM_IST_TE,MATCH(D77,PT_DIFFERENTIATION_IST_TE_ID,0))</f>
        <v>1.3.1.1</v>
      </c>
      <c r="T77" s="311" t="s">
        <v>434</v>
      </c>
      <c r="U77" s="301"/>
      <c r="V77" s="2244"/>
      <c r="W77" s="2244"/>
      <c r="X77" s="2244"/>
      <c r="Y77" s="2244"/>
      <c r="Z77" s="2244"/>
      <c r="AA77" s="2245"/>
      <c r="AB77" s="2243" t="str">
        <f>INDEX(PT_DIFFERENTIATION_IST_TE,MATCH(D77,PT_DIFFERENTIATION_IST_TE_ID,0))</f>
        <v>без дифференциации</v>
      </c>
      <c r="AC77" s="2244"/>
      <c r="AD77" s="2244"/>
      <c r="AE77" s="2244"/>
      <c r="AF77" s="2244"/>
      <c r="AG77" s="2244"/>
      <c r="AH77" s="2244"/>
      <c r="AI77" s="2244"/>
      <c r="AJ77" s="2244"/>
      <c r="AK77" s="2244"/>
      <c r="AL77" s="2244"/>
      <c r="AM77" s="2244"/>
      <c r="AN77" s="2244"/>
      <c r="AO77" s="2244"/>
      <c r="AP77" s="2244"/>
      <c r="AQ77" s="2244"/>
      <c r="AR77" s="2244"/>
      <c r="AS77" s="2244"/>
      <c r="AT77" s="2245"/>
      <c r="AU77" s="1259" t="s">
        <v>435</v>
      </c>
      <c r="AV77" s="1643"/>
      <c r="AW77" s="1625"/>
      <c r="AX77" s="1625" t="str">
        <f>IF(T77="","",T77)</f>
        <v>Источник тепловой энергии  </v>
      </c>
      <c r="AY77" s="1625"/>
      <c r="AZ77" s="1625"/>
      <c r="BA77" s="1636">
        <v>0</v>
      </c>
    </row>
    <row s="623" customFormat="1" customHeight="1" ht="0.75">
      <c r="A78" s="1344"/>
      <c r="B78" s="1344"/>
      <c r="C78" s="1344"/>
      <c r="D78" s="1344"/>
      <c r="E78" s="2260"/>
      <c r="F78" s="2260" t="s">
        <v>28</v>
      </c>
      <c r="G78" s="2260"/>
      <c r="H78" s="2260"/>
      <c r="I78" s="2257" t="str">
        <f>S77&amp;".1"</f>
        <v>1.3.1.1.1</v>
      </c>
      <c r="J78" s="1344"/>
      <c r="K78" s="1344"/>
      <c r="L78" s="1546" t="s">
        <v>436</v>
      </c>
      <c r="M78" s="511"/>
      <c r="N78" s="511"/>
      <c r="O78" s="511"/>
      <c r="P78" s="2375">
        <v>1</v>
      </c>
      <c r="Q78" s="2375"/>
      <c r="R78" s="357"/>
      <c r="S78" s="2305"/>
      <c r="T78" s="1384"/>
      <c r="U78" s="1385"/>
      <c r="V78" s="2298"/>
      <c r="W78" s="2298"/>
      <c r="X78" s="2298"/>
      <c r="Y78" s="2298"/>
      <c r="Z78" s="2298"/>
      <c r="AA78" s="2299"/>
      <c r="AB78" s="2297"/>
      <c r="AC78" s="2298"/>
      <c r="AD78" s="2298"/>
      <c r="AE78" s="2298"/>
      <c r="AF78" s="2298"/>
      <c r="AG78" s="2298"/>
      <c r="AH78" s="2298"/>
      <c r="AI78" s="2298"/>
      <c r="AJ78" s="2298"/>
      <c r="AK78" s="2298"/>
      <c r="AL78" s="2298"/>
      <c r="AM78" s="2298"/>
      <c r="AN78" s="2298"/>
      <c r="AO78" s="2298"/>
      <c r="AP78" s="2298"/>
      <c r="AQ78" s="2298"/>
      <c r="AR78" s="2298"/>
      <c r="AS78" s="2298"/>
      <c r="AT78" s="2299"/>
      <c r="AU78" s="1386"/>
      <c r="AV78" s="1643"/>
      <c r="AW78" s="1625"/>
      <c r="AX78" s="1625" t="str">
        <f>IF(T78="","",T78)</f>
        <v/>
      </c>
      <c r="AY78" s="1625"/>
      <c r="AZ78" s="1625"/>
      <c r="BA78" s="1643">
        <v>0</v>
      </c>
    </row>
    <row s="623" customFormat="1" customHeight="1" ht="0.75">
      <c r="A79" s="1344"/>
      <c r="B79" s="1344"/>
      <c r="C79" s="1344"/>
      <c r="D79" s="1344"/>
      <c r="E79" s="2260"/>
      <c r="F79" s="2260" t="s">
        <v>28</v>
      </c>
      <c r="G79" s="2260"/>
      <c r="H79" s="2260"/>
      <c r="I79" s="2287"/>
      <c r="J79" s="2257" t="str">
        <f>S77&amp;".1"</f>
        <v>1.3.1.1.1</v>
      </c>
      <c r="K79" s="1344"/>
      <c r="L79" s="1546"/>
      <c r="M79" s="511"/>
      <c r="N79" s="511"/>
      <c r="O79" s="511"/>
      <c r="P79" s="2375"/>
      <c r="Q79" s="2375">
        <v>1</v>
      </c>
      <c r="R79" s="358"/>
      <c r="S79" s="2305"/>
      <c r="T79" s="1400"/>
      <c r="U79" s="1385"/>
      <c r="V79" s="2298"/>
      <c r="W79" s="2298"/>
      <c r="X79" s="2298"/>
      <c r="Y79" s="2298"/>
      <c r="Z79" s="2298"/>
      <c r="AA79" s="2299"/>
      <c r="AB79" s="2297"/>
      <c r="AC79" s="2298"/>
      <c r="AD79" s="2298"/>
      <c r="AE79" s="2298"/>
      <c r="AF79" s="2298"/>
      <c r="AG79" s="2298"/>
      <c r="AH79" s="2298"/>
      <c r="AI79" s="2298"/>
      <c r="AJ79" s="2298"/>
      <c r="AK79" s="2298"/>
      <c r="AL79" s="2298"/>
      <c r="AM79" s="2298"/>
      <c r="AN79" s="2298"/>
      <c r="AO79" s="2298"/>
      <c r="AP79" s="2298"/>
      <c r="AQ79" s="2298"/>
      <c r="AR79" s="2298"/>
      <c r="AS79" s="2298"/>
      <c r="AT79" s="2299"/>
      <c r="AU79" s="1386"/>
      <c r="AV79" s="1643"/>
      <c r="AW79" s="1625"/>
      <c r="AX79" s="1625" t="str">
        <f>IF(T79="","",T79)</f>
        <v/>
      </c>
      <c r="AY79" s="1625"/>
      <c r="AZ79" s="1625"/>
      <c r="BA79" s="1643">
        <v>0</v>
      </c>
    </row>
    <row s="1851" customFormat="1" customHeight="1" ht="21">
      <c r="A80" s="1364"/>
      <c r="B80" s="1364"/>
      <c r="C80" s="1364"/>
      <c r="D80" s="1364"/>
      <c r="E80" s="2260"/>
      <c r="F80" s="2260" t="s">
        <v>28</v>
      </c>
      <c r="G80" s="2260"/>
      <c r="H80" s="2260"/>
      <c r="I80" s="2287"/>
      <c r="J80" s="2287"/>
      <c r="K80" s="2257" t="str">
        <f>S77&amp;".1"</f>
        <v>1.3.1.1.1</v>
      </c>
      <c r="L80" s="1370"/>
      <c r="M80" s="1777"/>
      <c r="N80" s="1777"/>
      <c r="O80" s="1777"/>
      <c r="P80" s="2375"/>
      <c r="Q80" s="2375"/>
      <c r="R80" s="2348">
        <v>1</v>
      </c>
      <c r="S80" s="2342" t="str">
        <f>$K80</f>
        <v>1.3.1.1.1</v>
      </c>
      <c r="T80" s="2345" t="s">
        <v>510</v>
      </c>
      <c r="U80" s="301"/>
      <c r="V80" s="752"/>
      <c r="W80" s="1258"/>
      <c r="X80" s="2603"/>
      <c r="Y80" s="2108" t="s">
        <v>64</v>
      </c>
      <c r="Z80" s="2603"/>
      <c r="AA80" s="2108" t="s">
        <v>64</v>
      </c>
      <c r="AB80" s="2108" t="s">
        <v>19</v>
      </c>
      <c r="AC80" s="2327"/>
      <c r="AD80" s="2438">
        <v>1</v>
      </c>
      <c r="AE80" s="2349" t="s">
        <v>28</v>
      </c>
      <c r="AF80" s="2108" t="s">
        <v>19</v>
      </c>
      <c r="AG80" s="2327"/>
      <c r="AH80" s="2438">
        <v>1</v>
      </c>
      <c r="AI80" s="2349" t="s">
        <v>28</v>
      </c>
      <c r="AJ80" s="2108" t="s">
        <v>19</v>
      </c>
      <c r="AK80" s="312"/>
      <c r="AL80" s="2438">
        <v>1</v>
      </c>
      <c r="AM80" s="1525" t="s">
        <v>28</v>
      </c>
      <c r="AN80" s="752"/>
      <c r="AO80" s="1258">
        <v>332.122</v>
      </c>
      <c r="AP80" s="2603">
        <v>45783.4396875</v>
      </c>
      <c r="AQ80" s="2108" t="s">
        <v>64</v>
      </c>
      <c r="AR80" s="2603">
        <v>46022</v>
      </c>
      <c r="AS80" s="2108" t="s">
        <v>64</v>
      </c>
      <c r="AT80" s="1349"/>
      <c r="AU80" s="2254" t="s">
        <v>493</v>
      </c>
      <c r="AV80" s="1643">
        <f>STRCHECKDATE(V83:AT83)</f>
      </c>
      <c r="AW80" s="1625"/>
      <c r="AX80" s="1625" t="str">
        <f>IF(T80="","",T80)</f>
        <v>Котельная</v>
      </c>
      <c r="AY80" s="1625"/>
      <c r="AZ80" s="1625"/>
      <c r="BA80" s="1636">
        <v>0</v>
      </c>
    </row>
    <row s="1851" customFormat="1" customHeight="1" ht="11.25">
      <c r="A81" s="1364"/>
      <c r="B81" s="1364"/>
      <c r="C81" s="1364"/>
      <c r="D81" s="1364"/>
      <c r="E81" s="2260"/>
      <c r="F81" s="2260" t="s">
        <v>28</v>
      </c>
      <c r="G81" s="2260"/>
      <c r="H81" s="2260"/>
      <c r="I81" s="2287"/>
      <c r="J81" s="2287"/>
      <c r="K81" s="2257"/>
      <c r="L81" s="1370"/>
      <c r="M81" s="1777"/>
      <c r="N81" s="1777"/>
      <c r="O81" s="1777"/>
      <c r="P81" s="2375"/>
      <c r="Q81" s="2375"/>
      <c r="R81" s="2348"/>
      <c r="S81" s="2343"/>
      <c r="T81" s="2346"/>
      <c r="U81" s="301"/>
      <c r="V81" s="2853"/>
      <c r="W81" s="2854"/>
      <c r="X81" s="2603"/>
      <c r="Y81" s="2108"/>
      <c r="Z81" s="2603"/>
      <c r="AA81" s="2108"/>
      <c r="AB81" s="2108"/>
      <c r="AC81" s="2327"/>
      <c r="AD81" s="2438"/>
      <c r="AE81" s="2349" t="s">
        <v>28</v>
      </c>
      <c r="AF81" s="2108"/>
      <c r="AG81" s="2327"/>
      <c r="AH81" s="2438"/>
      <c r="AI81" s="2349" t="s">
        <v>28</v>
      </c>
      <c r="AJ81" s="2108"/>
      <c r="AK81" s="2855"/>
      <c r="AL81" s="2856"/>
      <c r="AM81" s="2857" t="s">
        <v>494</v>
      </c>
      <c r="AN81" s="2858"/>
      <c r="AO81" s="2859"/>
      <c r="AP81" s="2860"/>
      <c r="AQ81" s="2861"/>
      <c r="AR81" s="2862"/>
      <c r="AS81" s="2863"/>
      <c r="AT81" s="1391"/>
      <c r="AU81" s="2255"/>
      <c r="AV81" s="1643"/>
      <c r="AW81" s="1625"/>
      <c r="AX81" s="1625"/>
      <c r="AY81" s="1625"/>
      <c r="AZ81" s="1625"/>
      <c r="BA81" s="1636">
        <v>0</v>
      </c>
    </row>
    <row s="1851" customFormat="1" customHeight="1" ht="11.25">
      <c r="A82" s="1364"/>
      <c r="B82" s="1364"/>
      <c r="C82" s="1364"/>
      <c r="D82" s="1364"/>
      <c r="E82" s="2260"/>
      <c r="F82" s="2260" t="s">
        <v>28</v>
      </c>
      <c r="G82" s="2260"/>
      <c r="H82" s="2260"/>
      <c r="I82" s="2287"/>
      <c r="J82" s="2287"/>
      <c r="K82" s="2257"/>
      <c r="L82" s="1370"/>
      <c r="M82" s="1777"/>
      <c r="N82" s="1777"/>
      <c r="O82" s="1777"/>
      <c r="P82" s="2375"/>
      <c r="Q82" s="2375"/>
      <c r="R82" s="2348"/>
      <c r="S82" s="2343"/>
      <c r="T82" s="2346"/>
      <c r="U82" s="301"/>
      <c r="V82" s="2864"/>
      <c r="W82" s="2865"/>
      <c r="X82" s="2603"/>
      <c r="Y82" s="2108"/>
      <c r="Z82" s="2603"/>
      <c r="AA82" s="2108"/>
      <c r="AB82" s="2108"/>
      <c r="AC82" s="2327"/>
      <c r="AD82" s="2438"/>
      <c r="AE82" s="2349" t="s">
        <v>28</v>
      </c>
      <c r="AF82" s="2108"/>
      <c r="AG82" s="2866"/>
      <c r="AH82" s="2867"/>
      <c r="AI82" s="2868" t="s">
        <v>495</v>
      </c>
      <c r="AJ82" s="2869"/>
      <c r="AK82" s="2870"/>
      <c r="AL82" s="2871"/>
      <c r="AM82" s="2872"/>
      <c r="AN82" s="2873"/>
      <c r="AO82" s="2874"/>
      <c r="AP82" s="2875"/>
      <c r="AQ82" s="2876"/>
      <c r="AR82" s="2877"/>
      <c r="AS82" s="2878"/>
      <c r="AT82" s="1391"/>
      <c r="AU82" s="2255"/>
      <c r="AV82" s="1643"/>
      <c r="AW82" s="1625"/>
      <c r="AX82" s="1625"/>
      <c r="AY82" s="1625"/>
      <c r="AZ82" s="1625"/>
      <c r="BA82" s="1636">
        <v>0</v>
      </c>
    </row>
    <row s="1851" customFormat="1" customHeight="1" ht="11.25">
      <c r="A83" s="1364"/>
      <c r="B83" s="1364"/>
      <c r="C83" s="1364"/>
      <c r="D83" s="1364"/>
      <c r="E83" s="2260"/>
      <c r="F83" s="2260" t="s">
        <v>28</v>
      </c>
      <c r="G83" s="2260"/>
      <c r="H83" s="2260"/>
      <c r="I83" s="2287"/>
      <c r="J83" s="2287"/>
      <c r="K83" s="2257"/>
      <c r="L83" s="1370"/>
      <c r="M83" s="1777"/>
      <c r="N83" s="1777"/>
      <c r="O83" s="1777"/>
      <c r="P83" s="2375"/>
      <c r="Q83" s="2375"/>
      <c r="R83" s="2348"/>
      <c r="S83" s="2344"/>
      <c r="T83" s="2347"/>
      <c r="U83" s="301"/>
      <c r="V83" s="2879"/>
      <c r="W83" s="2880" t="str">
        <f>X80&amp;"-"&amp;Z80</f>
        <v>-</v>
      </c>
      <c r="X83" s="2310"/>
      <c r="Y83" s="2108"/>
      <c r="Z83" s="2310"/>
      <c r="AA83" s="2108"/>
      <c r="AB83" s="2108"/>
      <c r="AC83" s="2881"/>
      <c r="AD83" s="2882"/>
      <c r="AE83" s="2883" t="s">
        <v>496</v>
      </c>
      <c r="AF83" s="2884"/>
      <c r="AG83" s="2885"/>
      <c r="AH83" s="2886"/>
      <c r="AI83" s="2887"/>
      <c r="AJ83" s="2888"/>
      <c r="AK83" s="2889"/>
      <c r="AL83" s="2890"/>
      <c r="AM83" s="2891"/>
      <c r="AN83" s="2892"/>
      <c r="AO83" s="2893" t="str">
        <f>AP80&amp;"-"&amp;AR80</f>
        <v>45783.4396875-46022</v>
      </c>
      <c r="AP83" s="2894"/>
      <c r="AQ83" s="2895"/>
      <c r="AR83" s="2896"/>
      <c r="AS83" s="2897"/>
      <c r="AT83" s="1350"/>
      <c r="AU83" s="2255"/>
      <c r="AV83" s="1643"/>
      <c r="AW83" s="1625"/>
      <c r="AX83" s="1625" t="str">
        <f>IF(T83="","",T83)</f>
        <v/>
      </c>
      <c r="AY83" s="1625"/>
      <c r="AZ83" s="1625"/>
      <c r="BA83" s="1636">
        <v>0</v>
      </c>
    </row>
    <row s="1851" customFormat="1" customHeight="1" ht="11.25">
      <c r="A84" s="1364"/>
      <c r="B84" s="1364"/>
      <c r="C84" s="1364"/>
      <c r="D84" s="1364"/>
      <c r="E84" s="2260"/>
      <c r="F84" s="2260" t="s">
        <v>28</v>
      </c>
      <c r="G84" s="2260"/>
      <c r="H84" s="2260"/>
      <c r="I84" s="2287"/>
      <c r="J84" s="2257"/>
      <c r="K84" s="1364"/>
      <c r="L84" s="1370"/>
      <c r="M84" s="1777"/>
      <c r="N84" s="1777"/>
      <c r="O84" s="1777"/>
      <c r="P84" s="2375"/>
      <c r="Q84" s="2375"/>
      <c r="R84" s="357"/>
      <c r="S84" s="2898"/>
      <c r="T84" s="2899" t="s">
        <v>497</v>
      </c>
      <c r="U84" s="2900"/>
      <c r="V84" s="2901"/>
      <c r="W84" s="2902"/>
      <c r="X84" s="2903"/>
      <c r="Y84" s="2904"/>
      <c r="Z84" s="2905"/>
      <c r="AA84" s="2906"/>
      <c r="AB84" s="2907"/>
      <c r="AC84" s="2908"/>
      <c r="AD84" s="2909"/>
      <c r="AE84" s="2910"/>
      <c r="AF84" s="2911"/>
      <c r="AG84" s="2912"/>
      <c r="AH84" s="2913"/>
      <c r="AI84" s="2914"/>
      <c r="AJ84" s="2915"/>
      <c r="AK84" s="2916"/>
      <c r="AL84" s="2917"/>
      <c r="AM84" s="2918"/>
      <c r="AN84" s="2919"/>
      <c r="AO84" s="2920"/>
      <c r="AP84" s="2921"/>
      <c r="AQ84" s="2922"/>
      <c r="AR84" s="2923"/>
      <c r="AS84" s="2924"/>
      <c r="AT84" s="2925"/>
      <c r="AU84" s="2256"/>
      <c r="AV84" s="1643"/>
      <c r="AW84" s="1625"/>
      <c r="AX84" s="1625" t="str">
        <f>IF(T84="","",T84)</f>
        <v>Добавить строку</v>
      </c>
      <c r="AY84" s="1625"/>
      <c r="AZ84" s="1625"/>
      <c r="BA84" s="1636">
        <v>0</v>
      </c>
    </row>
    <row s="623" customFormat="1" customHeight="1" ht="0.75">
      <c r="A85" s="1344"/>
      <c r="B85" s="1344"/>
      <c r="C85" s="1344"/>
      <c r="D85" s="1344"/>
      <c r="E85" s="2260"/>
      <c r="F85" s="2260" t="s">
        <v>28</v>
      </c>
      <c r="G85" s="2260"/>
      <c r="H85" s="2260"/>
      <c r="I85" s="2257"/>
      <c r="J85" s="1344"/>
      <c r="K85" s="1344"/>
      <c r="L85" s="1546"/>
      <c r="M85" s="511"/>
      <c r="N85" s="511"/>
      <c r="O85" s="511"/>
      <c r="P85" s="2375"/>
      <c r="Q85" s="2375"/>
      <c r="R85" s="357"/>
      <c r="S85" s="1387"/>
      <c r="T85" s="1388"/>
      <c r="U85" s="1389"/>
      <c r="V85" s="1389"/>
      <c r="W85" s="1389"/>
      <c r="X85" s="1389"/>
      <c r="Y85" s="1389"/>
      <c r="Z85" s="1389"/>
      <c r="AA85" s="1389"/>
      <c r="AB85" s="1389"/>
      <c r="AC85" s="1389"/>
      <c r="AD85" s="1389"/>
      <c r="AE85" s="1389"/>
      <c r="AF85" s="1389"/>
      <c r="AG85" s="1389"/>
      <c r="AH85" s="1389"/>
      <c r="AI85" s="1389"/>
      <c r="AJ85" s="1389"/>
      <c r="AK85" s="1389"/>
      <c r="AL85" s="1389"/>
      <c r="AM85" s="1389"/>
      <c r="AN85" s="1389"/>
      <c r="AO85" s="1389"/>
      <c r="AP85" s="1389"/>
      <c r="AQ85" s="1389"/>
      <c r="AR85" s="1389"/>
      <c r="AS85" s="1389"/>
      <c r="AT85" s="1389"/>
      <c r="AU85" s="1390"/>
      <c r="AV85" s="1643"/>
      <c r="AW85" s="1625"/>
      <c r="AX85" s="1625" t="str">
        <f>IF(T85="","",T85)</f>
        <v/>
      </c>
      <c r="AY85" s="1625"/>
      <c r="AZ85" s="1625"/>
      <c r="BA85" s="1643">
        <v>0</v>
      </c>
    </row>
    <row s="623" customFormat="1" customHeight="1" ht="0.75">
      <c r="A86" s="1344"/>
      <c r="B86" s="1344"/>
      <c r="C86" s="1344"/>
      <c r="D86" s="1344"/>
      <c r="E86" s="2260"/>
      <c r="F86" s="2260" t="s">
        <v>28</v>
      </c>
      <c r="G86" s="2260"/>
      <c r="H86" s="2259"/>
      <c r="I86" s="1344"/>
      <c r="J86" s="1344"/>
      <c r="K86" s="1344"/>
      <c r="L86" s="1546"/>
      <c r="M86" s="1316"/>
      <c r="N86" s="1316"/>
      <c r="O86" s="1643"/>
      <c r="P86" s="1317"/>
      <c r="Q86" s="1345"/>
      <c r="R86" s="1402"/>
      <c r="S86" s="1387"/>
      <c r="T86" s="1388"/>
      <c r="U86" s="1389"/>
      <c r="V86" s="1389"/>
      <c r="W86" s="1389"/>
      <c r="X86" s="1389"/>
      <c r="Y86" s="1389"/>
      <c r="Z86" s="1389"/>
      <c r="AA86" s="1389"/>
      <c r="AB86" s="1389"/>
      <c r="AC86" s="1389"/>
      <c r="AD86" s="1389"/>
      <c r="AE86" s="1389"/>
      <c r="AF86" s="1389"/>
      <c r="AG86" s="1389"/>
      <c r="AH86" s="1389"/>
      <c r="AI86" s="1389"/>
      <c r="AJ86" s="1389"/>
      <c r="AK86" s="1389"/>
      <c r="AL86" s="1389"/>
      <c r="AM86" s="1389"/>
      <c r="AN86" s="1389"/>
      <c r="AO86" s="1389"/>
      <c r="AP86" s="1389"/>
      <c r="AQ86" s="1389"/>
      <c r="AR86" s="1389"/>
      <c r="AS86" s="1389"/>
      <c r="AT86" s="1389"/>
      <c r="AU86" s="1390"/>
      <c r="AV86" s="1643"/>
      <c r="AW86" s="1625"/>
      <c r="AX86" s="1625" t="str">
        <f>IF(T86="","",T86)</f>
        <v/>
      </c>
      <c r="AY86" s="1625"/>
      <c r="AZ86" s="1625"/>
      <c r="BA86" s="1643">
        <v>0</v>
      </c>
    </row>
    <row s="623" customFormat="1" customHeight="1" ht="0.75">
      <c r="A87" s="1344"/>
      <c r="B87" s="1344"/>
      <c r="C87" s="1344"/>
      <c r="D87" s="1344"/>
      <c r="E87" s="2260"/>
      <c r="F87" s="2260" t="s">
        <v>28</v>
      </c>
      <c r="G87" s="2259"/>
      <c r="H87" s="1344"/>
      <c r="I87" s="1344"/>
      <c r="J87" s="1344"/>
      <c r="K87" s="1344"/>
      <c r="L87" s="1546"/>
      <c r="M87" s="1316"/>
      <c r="N87" s="1316"/>
      <c r="O87" s="1643"/>
      <c r="P87" s="1317"/>
      <c r="Q87" s="1345"/>
      <c r="R87" s="1317"/>
      <c r="S87" s="1323"/>
      <c r="T87" s="1326" t="s">
        <v>218</v>
      </c>
      <c r="U87" s="1325"/>
      <c r="V87" s="1325"/>
      <c r="W87" s="1325"/>
      <c r="X87" s="1325"/>
      <c r="Y87" s="1325"/>
      <c r="Z87" s="1325"/>
      <c r="AA87" s="1325"/>
      <c r="AB87" s="1325"/>
      <c r="AC87" s="1325"/>
      <c r="AD87" s="1325"/>
      <c r="AE87" s="1325"/>
      <c r="AF87" s="1325"/>
      <c r="AG87" s="1325"/>
      <c r="AH87" s="1325"/>
      <c r="AI87" s="1325"/>
      <c r="AJ87" s="1325"/>
      <c r="AK87" s="1325"/>
      <c r="AL87" s="1325"/>
      <c r="AM87" s="1325"/>
      <c r="AN87" s="1325"/>
      <c r="AO87" s="1325"/>
      <c r="AP87" s="1325"/>
      <c r="AQ87" s="1325"/>
      <c r="AR87" s="1325"/>
      <c r="AS87" s="1325"/>
      <c r="AT87" s="1325"/>
      <c r="AU87" s="1325"/>
      <c r="AV87" s="1643"/>
      <c r="AW87" s="1625"/>
      <c r="AX87" s="1625" t="str">
        <f>IF(T87="","",T87)</f>
        <v>Добавить источник для дифференциации</v>
      </c>
      <c r="AY87" s="1625"/>
      <c r="AZ87" s="1625"/>
      <c r="BA87" s="1643">
        <v>0</v>
      </c>
    </row>
    <row s="623" customFormat="1" customHeight="1" ht="0.75">
      <c r="A88" s="1344"/>
      <c r="B88" s="1344"/>
      <c r="C88" s="1344"/>
      <c r="D88" s="1344"/>
      <c r="E88" s="2260"/>
      <c r="F88" s="2259" t="s">
        <v>28</v>
      </c>
      <c r="G88" s="1344"/>
      <c r="H88" s="1344"/>
      <c r="I88" s="1344"/>
      <c r="J88" s="1344"/>
      <c r="K88" s="1344"/>
      <c r="L88" s="1546"/>
      <c r="M88" s="1322"/>
      <c r="N88" s="1322"/>
      <c r="O88" s="1643"/>
      <c r="P88" s="1317"/>
      <c r="Q88" s="1345"/>
      <c r="R88" s="1317"/>
      <c r="S88" s="1323"/>
      <c r="T88" s="1326" t="s">
        <v>219</v>
      </c>
      <c r="U88" s="1325"/>
      <c r="V88" s="1325"/>
      <c r="W88" s="1325"/>
      <c r="X88" s="1325"/>
      <c r="Y88" s="1325"/>
      <c r="Z88" s="1325"/>
      <c r="AA88" s="1325"/>
      <c r="AB88" s="1325"/>
      <c r="AC88" s="1325"/>
      <c r="AD88" s="1325"/>
      <c r="AE88" s="1325"/>
      <c r="AF88" s="1325"/>
      <c r="AG88" s="1325"/>
      <c r="AH88" s="1325"/>
      <c r="AI88" s="1325"/>
      <c r="AJ88" s="1325"/>
      <c r="AK88" s="1325"/>
      <c r="AL88" s="1325"/>
      <c r="AM88" s="1325"/>
      <c r="AN88" s="1325"/>
      <c r="AO88" s="1325"/>
      <c r="AP88" s="1325"/>
      <c r="AQ88" s="1325"/>
      <c r="AR88" s="1325"/>
      <c r="AS88" s="1325"/>
      <c r="AT88" s="1325"/>
      <c r="AU88" s="1325"/>
      <c r="AV88" s="1643"/>
      <c r="AW88" s="1625"/>
      <c r="AX88" s="1625" t="str">
        <f>IF(T88="","",T88)</f>
        <v>Добавить централизованную систему для дифференциации</v>
      </c>
      <c r="AY88" s="1625"/>
      <c r="AZ88" s="1625"/>
      <c r="BA88" s="1643">
        <v>0</v>
      </c>
    </row>
    <row s="1643" customFormat="1" customHeight="1" ht="1.05">
      <c r="A89" s="1344" t="s">
        <v>214</v>
      </c>
      <c r="B89" s="1344"/>
      <c r="C89" s="1344"/>
      <c r="D89" s="1344"/>
      <c r="E89" s="2259"/>
      <c r="F89" s="1344"/>
      <c r="G89" s="1344"/>
      <c r="H89" s="1344"/>
      <c r="I89" s="1344"/>
      <c r="J89" s="1344"/>
      <c r="K89" s="1344"/>
      <c r="L89" s="1347"/>
      <c r="M89" s="1322"/>
      <c r="N89" s="1322"/>
      <c r="O89" s="519"/>
      <c r="P89" s="381"/>
      <c r="Q89" s="1345"/>
      <c r="R89" s="381"/>
      <c r="S89" s="1323"/>
      <c r="T89" s="1326" t="s">
        <v>227</v>
      </c>
      <c r="U89" s="1325"/>
      <c r="V89" s="1325"/>
      <c r="W89" s="1325"/>
      <c r="X89" s="1325"/>
      <c r="Y89" s="1325"/>
      <c r="Z89" s="1325"/>
      <c r="AA89" s="1325"/>
      <c r="AB89" s="1325"/>
      <c r="AC89" s="1325"/>
      <c r="AD89" s="1325"/>
      <c r="AE89" s="1325"/>
      <c r="AF89" s="1325"/>
      <c r="AG89" s="1325"/>
      <c r="AH89" s="1325"/>
      <c r="AI89" s="1325"/>
      <c r="AJ89" s="1325"/>
      <c r="AK89" s="1325"/>
      <c r="AL89" s="1325"/>
      <c r="AM89" s="1325"/>
      <c r="AN89" s="1325"/>
      <c r="AO89" s="1325"/>
      <c r="AP89" s="1325"/>
      <c r="AQ89" s="1325"/>
      <c r="AR89" s="1325"/>
      <c r="AS89" s="1325"/>
      <c r="AT89" s="1325"/>
      <c r="AU89" s="1325"/>
      <c r="AW89" s="501"/>
      <c r="AX89" s="501" t="str">
        <f>IF(T89="","",T89)</f>
        <v>Добавить территорию для дифференциации</v>
      </c>
      <c r="AY89" s="501"/>
      <c r="AZ89" s="501"/>
      <c r="BA89" s="512">
        <v>1</v>
      </c>
    </row>
    <row s="1851" customFormat="1" customHeight="1" ht="21">
      <c r="A90" s="1364" t="s">
        <v>229</v>
      </c>
      <c r="B90" s="1364"/>
      <c r="C90" s="1364"/>
      <c r="D90" s="1364"/>
      <c r="E90" s="2259" t="s">
        <v>107</v>
      </c>
      <c r="F90" s="1364"/>
      <c r="G90" s="1364"/>
      <c r="H90" s="1364"/>
      <c r="I90" s="1364"/>
      <c r="J90" s="1364"/>
      <c r="K90" s="1364"/>
      <c r="L90" s="1370"/>
      <c r="M90" s="1366"/>
      <c r="N90" s="1366"/>
      <c r="O90" s="1366"/>
      <c r="P90" s="1777"/>
      <c r="Q90" s="1684"/>
      <c r="R90" s="356"/>
      <c r="S90" s="2274" t="str">
        <f>INDEX(PT_DIFFERENTIATION_NUM_NTAR,MATCH(A90,PT_DIFFERENTIATION_NTAR_ID,0))</f>
        <v>2</v>
      </c>
      <c r="T90" s="1526" t="s">
        <v>137</v>
      </c>
      <c r="U90" s="301"/>
      <c r="V90" s="2244"/>
      <c r="W90" s="2244"/>
      <c r="X90" s="2244"/>
      <c r="Y90" s="2244"/>
      <c r="Z90" s="2244"/>
      <c r="AA90" s="2245"/>
      <c r="AB90" s="2243" t="str">
        <f>INDEX(PT_DIFFERENTIATION_NTAR,MATCH(A90,PT_DIFFERENTIATION_NTAR_ID,0))</f>
        <v>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 в расчете на единицу мощности подключаемой нагрузки. Подземная бесканальная прокладка до 250 мм</v>
      </c>
      <c r="AC90" s="2244"/>
      <c r="AD90" s="2244"/>
      <c r="AE90" s="2244"/>
      <c r="AF90" s="2244"/>
      <c r="AG90" s="2244"/>
      <c r="AH90" s="2244"/>
      <c r="AI90" s="2244"/>
      <c r="AJ90" s="2244"/>
      <c r="AK90" s="2244"/>
      <c r="AL90" s="2244"/>
      <c r="AM90" s="2244"/>
      <c r="AN90" s="2244"/>
      <c r="AO90" s="2244"/>
      <c r="AP90" s="2244"/>
      <c r="AQ90" s="2244"/>
      <c r="AR90" s="2244"/>
      <c r="AS90" s="2244"/>
      <c r="AT90" s="2245"/>
      <c r="AU90" s="1259" t="s">
        <v>429</v>
      </c>
      <c r="AV90" s="1643"/>
      <c r="AW90" s="1625"/>
      <c r="AX90" s="1625" t="str">
        <f>IF(T90="","",T90)</f>
        <v>Наименование тарифа</v>
      </c>
      <c r="AY90" s="1625"/>
      <c r="AZ90" s="1625"/>
      <c r="BA90" s="1636">
        <v>0</v>
      </c>
    </row>
    <row s="1851" customFormat="1" customHeight="1" ht="21">
      <c r="A91" s="1364"/>
      <c r="B91" s="1364" t="s">
        <v>230</v>
      </c>
      <c r="C91" s="1364"/>
      <c r="D91" s="1364"/>
      <c r="E91" s="2260">
        <v>1</v>
      </c>
      <c r="F91" s="2259">
        <v>1</v>
      </c>
      <c r="G91" s="1364"/>
      <c r="H91" s="1364"/>
      <c r="I91" s="1364"/>
      <c r="J91" s="1364"/>
      <c r="K91" s="1364"/>
      <c r="L91" s="1370"/>
      <c r="M91" s="1366"/>
      <c r="N91" s="1366"/>
      <c r="O91" s="1366"/>
      <c r="P91" s="2608"/>
      <c r="Q91" s="1412"/>
      <c r="R91" s="354"/>
      <c r="S91" s="2274" t="str">
        <f>INDEX(PT_DIFFERENTIATION_NUM_TER,MATCH(B91,PT_DIFFERENTIATION_TER_ID,0))</f>
        <v>2.1</v>
      </c>
      <c r="T91" s="1523" t="s">
        <v>430</v>
      </c>
      <c r="U91" s="301"/>
      <c r="V91" s="2244"/>
      <c r="W91" s="2244"/>
      <c r="X91" s="2244"/>
      <c r="Y91" s="2244"/>
      <c r="Z91" s="2244"/>
      <c r="AA91" s="2245"/>
      <c r="AB91" s="2243" t="str">
        <f>INDEX(PT_DIFFERENTIATION_TER,MATCH(B91,PT_DIFFERENTIATION_TER_ID,0))</f>
        <v>Территория 2</v>
      </c>
      <c r="AC91" s="2244"/>
      <c r="AD91" s="2244"/>
      <c r="AE91" s="2244"/>
      <c r="AF91" s="2244"/>
      <c r="AG91" s="2244"/>
      <c r="AH91" s="2244"/>
      <c r="AI91" s="2244"/>
      <c r="AJ91" s="2244"/>
      <c r="AK91" s="2244"/>
      <c r="AL91" s="2244"/>
      <c r="AM91" s="2244"/>
      <c r="AN91" s="2244"/>
      <c r="AO91" s="2244"/>
      <c r="AP91" s="2244"/>
      <c r="AQ91" s="2244"/>
      <c r="AR91" s="2244"/>
      <c r="AS91" s="2244"/>
      <c r="AT91" s="2245"/>
      <c r="AU91" s="1259" t="s">
        <v>431</v>
      </c>
      <c r="AV91" s="1643"/>
      <c r="AW91" s="1625"/>
      <c r="AX91" s="1625" t="str">
        <f>IF(T91="","",T91)</f>
        <v>Территория действия тарифа</v>
      </c>
      <c r="AY91" s="1625"/>
      <c r="AZ91" s="1625"/>
      <c r="BA91" s="1636">
        <v>0</v>
      </c>
    </row>
    <row s="1851" customFormat="1" customHeight="1" ht="22.5">
      <c r="A92" s="1364"/>
      <c r="B92" s="1364"/>
      <c r="C92" s="1364" t="s">
        <v>231</v>
      </c>
      <c r="D92" s="1364"/>
      <c r="E92" s="2260">
        <v>1</v>
      </c>
      <c r="F92" s="2260"/>
      <c r="G92" s="2259">
        <v>1</v>
      </c>
      <c r="H92" s="1364"/>
      <c r="I92" s="1364"/>
      <c r="J92" s="1364"/>
      <c r="K92" s="1364"/>
      <c r="L92" s="1370"/>
      <c r="M92" s="1366"/>
      <c r="N92" s="1366"/>
      <c r="O92" s="1366"/>
      <c r="P92" s="1413"/>
      <c r="Q92" s="1412"/>
      <c r="R92" s="354"/>
      <c r="S92" s="2274" t="str">
        <f>INDEX(PT_DIFFERENTIATION_NUM_CS,MATCH(C92,PT_DIFFERENTIATION_CS_ID,0))</f>
        <v>2.1.1</v>
      </c>
      <c r="T92" s="310" t="s">
        <v>432</v>
      </c>
      <c r="U92" s="301"/>
      <c r="V92" s="2244"/>
      <c r="W92" s="2244"/>
      <c r="X92" s="2244"/>
      <c r="Y92" s="2244"/>
      <c r="Z92" s="2244"/>
      <c r="AA92" s="2245"/>
      <c r="AB92" s="2243" t="str">
        <f>INDEX(PT_DIFFERENTIATION_CS,MATCH(C92,PT_DIFFERENTIATION_CS_ID,0))</f>
        <v>Хасанский муниципальный округ</v>
      </c>
      <c r="AC92" s="2244"/>
      <c r="AD92" s="2244"/>
      <c r="AE92" s="2244"/>
      <c r="AF92" s="2244"/>
      <c r="AG92" s="2244"/>
      <c r="AH92" s="2244"/>
      <c r="AI92" s="2244"/>
      <c r="AJ92" s="2244"/>
      <c r="AK92" s="2244"/>
      <c r="AL92" s="2244"/>
      <c r="AM92" s="2244"/>
      <c r="AN92" s="2244"/>
      <c r="AO92" s="2244"/>
      <c r="AP92" s="2244"/>
      <c r="AQ92" s="2244"/>
      <c r="AR92" s="2244"/>
      <c r="AS92" s="2244"/>
      <c r="AT92" s="2245"/>
      <c r="AU92" s="1259" t="s">
        <v>433</v>
      </c>
      <c r="AV92" s="1643"/>
      <c r="AW92" s="1625"/>
      <c r="AX92" s="1625" t="str">
        <f>IF(T92="","",T92)</f>
        <v>Наименование системы теплоснабжения </v>
      </c>
      <c r="AY92" s="1625"/>
      <c r="AZ92" s="1625"/>
      <c r="BA92" s="1636">
        <v>0</v>
      </c>
    </row>
    <row s="1851" customFormat="1" customHeight="1" ht="21">
      <c r="A93" s="1364"/>
      <c r="B93" s="1364"/>
      <c r="C93" s="1364"/>
      <c r="D93" s="1364" t="s">
        <v>232</v>
      </c>
      <c r="E93" s="2260">
        <v>1</v>
      </c>
      <c r="F93" s="2260"/>
      <c r="G93" s="2260"/>
      <c r="H93" s="2259">
        <v>1</v>
      </c>
      <c r="I93" s="1364"/>
      <c r="J93" s="1364"/>
      <c r="K93" s="1364"/>
      <c r="L93" s="1370"/>
      <c r="M93" s="1366"/>
      <c r="N93" s="1366"/>
      <c r="O93" s="1366"/>
      <c r="P93" s="1413"/>
      <c r="Q93" s="1412"/>
      <c r="R93" s="354"/>
      <c r="S93" s="2274" t="str">
        <f>INDEX(PT_DIFFERENTIATION_NUM_IST_TE,MATCH(D93,PT_DIFFERENTIATION_IST_TE_ID,0))</f>
        <v>2.1.1.1</v>
      </c>
      <c r="T93" s="311" t="s">
        <v>434</v>
      </c>
      <c r="U93" s="301"/>
      <c r="V93" s="2244"/>
      <c r="W93" s="2244"/>
      <c r="X93" s="2244"/>
      <c r="Y93" s="2244"/>
      <c r="Z93" s="2244"/>
      <c r="AA93" s="2245"/>
      <c r="AB93" s="2243" t="str">
        <f>INDEX(PT_DIFFERENTIATION_IST_TE,MATCH(D93,PT_DIFFERENTIATION_IST_TE_ID,0))</f>
        <v>без дифференциации</v>
      </c>
      <c r="AC93" s="2244"/>
      <c r="AD93" s="2244"/>
      <c r="AE93" s="2244"/>
      <c r="AF93" s="2244"/>
      <c r="AG93" s="2244"/>
      <c r="AH93" s="2244"/>
      <c r="AI93" s="2244"/>
      <c r="AJ93" s="2244"/>
      <c r="AK93" s="2244"/>
      <c r="AL93" s="2244"/>
      <c r="AM93" s="2244"/>
      <c r="AN93" s="2244"/>
      <c r="AO93" s="2244"/>
      <c r="AP93" s="2244"/>
      <c r="AQ93" s="2244"/>
      <c r="AR93" s="2244"/>
      <c r="AS93" s="2244"/>
      <c r="AT93" s="2245"/>
      <c r="AU93" s="1259" t="s">
        <v>435</v>
      </c>
      <c r="AV93" s="1643"/>
      <c r="AW93" s="1625"/>
      <c r="AX93" s="1625" t="str">
        <f>IF(T93="","",T93)</f>
        <v>Источник тепловой энергии  </v>
      </c>
      <c r="AY93" s="1625"/>
      <c r="AZ93" s="1625"/>
      <c r="BA93" s="1636">
        <v>0</v>
      </c>
    </row>
    <row s="623" customFormat="1" customHeight="1" ht="0.75">
      <c r="A94" s="1344"/>
      <c r="B94" s="1344"/>
      <c r="C94" s="1344"/>
      <c r="D94" s="1344"/>
      <c r="E94" s="2260">
        <v>1</v>
      </c>
      <c r="F94" s="2260"/>
      <c r="G94" s="2260"/>
      <c r="H94" s="2260"/>
      <c r="I94" s="2257" t="str">
        <f>S93&amp;".1"</f>
        <v>2.1.1.1.1</v>
      </c>
      <c r="J94" s="1344"/>
      <c r="K94" s="1344"/>
      <c r="L94" s="1546" t="s">
        <v>436</v>
      </c>
      <c r="M94" s="511"/>
      <c r="N94" s="511"/>
      <c r="O94" s="511"/>
      <c r="P94" s="2375">
        <v>1</v>
      </c>
      <c r="Q94" s="2375"/>
      <c r="R94" s="357"/>
      <c r="S94" s="2305"/>
      <c r="T94" s="1384"/>
      <c r="U94" s="1385"/>
      <c r="V94" s="2298"/>
      <c r="W94" s="2298"/>
      <c r="X94" s="2298"/>
      <c r="Y94" s="2298"/>
      <c r="Z94" s="2298"/>
      <c r="AA94" s="2299"/>
      <c r="AB94" s="2297"/>
      <c r="AC94" s="2298"/>
      <c r="AD94" s="2298"/>
      <c r="AE94" s="2298"/>
      <c r="AF94" s="2298"/>
      <c r="AG94" s="2298"/>
      <c r="AH94" s="2298"/>
      <c r="AI94" s="2298"/>
      <c r="AJ94" s="2298"/>
      <c r="AK94" s="2298"/>
      <c r="AL94" s="2298"/>
      <c r="AM94" s="2298"/>
      <c r="AN94" s="2298"/>
      <c r="AO94" s="2298"/>
      <c r="AP94" s="2298"/>
      <c r="AQ94" s="2298"/>
      <c r="AR94" s="2298"/>
      <c r="AS94" s="2298"/>
      <c r="AT94" s="2299"/>
      <c r="AU94" s="1386"/>
      <c r="AV94" s="1643"/>
      <c r="AW94" s="1625"/>
      <c r="AX94" s="1625" t="str">
        <f>IF(T94="","",T94)</f>
        <v/>
      </c>
      <c r="AY94" s="1625"/>
      <c r="AZ94" s="1625"/>
      <c r="BA94" s="1643">
        <v>0</v>
      </c>
    </row>
    <row s="623" customFormat="1" customHeight="1" ht="0.75">
      <c r="A95" s="1344"/>
      <c r="B95" s="1344"/>
      <c r="C95" s="1344"/>
      <c r="D95" s="1344"/>
      <c r="E95" s="2260">
        <v>1</v>
      </c>
      <c r="F95" s="2260"/>
      <c r="G95" s="2260"/>
      <c r="H95" s="2260"/>
      <c r="I95" s="2287"/>
      <c r="J95" s="2257" t="str">
        <f>S93&amp;".1"</f>
        <v>2.1.1.1.1</v>
      </c>
      <c r="K95" s="1344"/>
      <c r="L95" s="1546"/>
      <c r="M95" s="511"/>
      <c r="N95" s="511"/>
      <c r="O95" s="511"/>
      <c r="P95" s="2375"/>
      <c r="Q95" s="2375">
        <v>1</v>
      </c>
      <c r="R95" s="358"/>
      <c r="S95" s="2305"/>
      <c r="T95" s="1400"/>
      <c r="U95" s="1385"/>
      <c r="V95" s="2298"/>
      <c r="W95" s="2298"/>
      <c r="X95" s="2298"/>
      <c r="Y95" s="2298"/>
      <c r="Z95" s="2298"/>
      <c r="AA95" s="2299"/>
      <c r="AB95" s="2297"/>
      <c r="AC95" s="2298"/>
      <c r="AD95" s="2298"/>
      <c r="AE95" s="2298"/>
      <c r="AF95" s="2298"/>
      <c r="AG95" s="2298"/>
      <c r="AH95" s="2298"/>
      <c r="AI95" s="2298"/>
      <c r="AJ95" s="2298"/>
      <c r="AK95" s="2298"/>
      <c r="AL95" s="2298"/>
      <c r="AM95" s="2298"/>
      <c r="AN95" s="2298"/>
      <c r="AO95" s="2298"/>
      <c r="AP95" s="2298"/>
      <c r="AQ95" s="2298"/>
      <c r="AR95" s="2298"/>
      <c r="AS95" s="2298"/>
      <c r="AT95" s="2299"/>
      <c r="AU95" s="1386"/>
      <c r="AV95" s="1643"/>
      <c r="AW95" s="1625"/>
      <c r="AX95" s="1625" t="str">
        <f>IF(T95="","",T95)</f>
        <v/>
      </c>
      <c r="AY95" s="1625"/>
      <c r="AZ95" s="1625"/>
      <c r="BA95" s="1643">
        <v>0</v>
      </c>
    </row>
    <row s="1851" customFormat="1" customHeight="1" ht="21">
      <c r="A96" s="1364"/>
      <c r="B96" s="1364"/>
      <c r="C96" s="1364"/>
      <c r="D96" s="1364"/>
      <c r="E96" s="2260">
        <v>1</v>
      </c>
      <c r="F96" s="2260"/>
      <c r="G96" s="2260"/>
      <c r="H96" s="2260"/>
      <c r="I96" s="2287"/>
      <c r="J96" s="2287"/>
      <c r="K96" s="2257" t="str">
        <f>S93&amp;".1"</f>
        <v>2.1.1.1.1</v>
      </c>
      <c r="L96" s="1370"/>
      <c r="M96" s="1777"/>
      <c r="N96" s="1777"/>
      <c r="O96" s="1777"/>
      <c r="P96" s="2375"/>
      <c r="Q96" s="2375"/>
      <c r="R96" s="2348">
        <v>1</v>
      </c>
      <c r="S96" s="2342" t="str">
        <f>$K96</f>
        <v>2.1.1.1.1</v>
      </c>
      <c r="T96" s="2345" t="s">
        <v>510</v>
      </c>
      <c r="U96" s="301"/>
      <c r="V96" s="752"/>
      <c r="W96" s="1258"/>
      <c r="X96" s="2603"/>
      <c r="Y96" s="2108" t="s">
        <v>64</v>
      </c>
      <c r="Z96" s="2603"/>
      <c r="AA96" s="2108" t="s">
        <v>64</v>
      </c>
      <c r="AB96" s="2108" t="s">
        <v>19</v>
      </c>
      <c r="AC96" s="2327"/>
      <c r="AD96" s="2438">
        <v>1</v>
      </c>
      <c r="AE96" s="2349" t="s">
        <v>28</v>
      </c>
      <c r="AF96" s="2108" t="s">
        <v>64</v>
      </c>
      <c r="AG96" s="2327"/>
      <c r="AH96" s="2438">
        <v>1</v>
      </c>
      <c r="AI96" s="2749" t="s">
        <v>512</v>
      </c>
      <c r="AJ96" s="2108" t="s">
        <v>19</v>
      </c>
      <c r="AK96" s="312"/>
      <c r="AL96" s="2438">
        <v>1</v>
      </c>
      <c r="AM96" s="2563" t="s">
        <v>513</v>
      </c>
      <c r="AN96" s="752"/>
      <c r="AO96" s="1258">
        <v>59673.219</v>
      </c>
      <c r="AP96" s="2603">
        <v>45730</v>
      </c>
      <c r="AQ96" s="2108" t="s">
        <v>64</v>
      </c>
      <c r="AR96" s="2603">
        <v>46022</v>
      </c>
      <c r="AS96" s="2108" t="s">
        <v>64</v>
      </c>
      <c r="AT96" s="1349"/>
      <c r="AU96" s="2254" t="s">
        <v>493</v>
      </c>
      <c r="AV96" s="1643">
        <f>STRCHECKDATE(V99:AT99)</f>
      </c>
      <c r="AW96" s="1625"/>
      <c r="AX96" s="1625" t="str">
        <f>IF(T96="","",T96)</f>
        <v>Котельная</v>
      </c>
      <c r="AY96" s="1625"/>
      <c r="AZ96" s="1625"/>
      <c r="BA96" s="1636">
        <v>0</v>
      </c>
    </row>
    <row s="1851" customFormat="1" customHeight="1" ht="11.25">
      <c r="A97" s="1364"/>
      <c r="B97" s="1364"/>
      <c r="C97" s="1364"/>
      <c r="D97" s="1364"/>
      <c r="E97" s="2260">
        <v>1</v>
      </c>
      <c r="F97" s="2260"/>
      <c r="G97" s="2260"/>
      <c r="H97" s="2260"/>
      <c r="I97" s="2287"/>
      <c r="J97" s="2287"/>
      <c r="K97" s="2257"/>
      <c r="L97" s="1370"/>
      <c r="M97" s="1777"/>
      <c r="N97" s="1777"/>
      <c r="O97" s="1777"/>
      <c r="P97" s="2375"/>
      <c r="Q97" s="2375"/>
      <c r="R97" s="2348"/>
      <c r="S97" s="2343"/>
      <c r="T97" s="2346"/>
      <c r="U97" s="301"/>
      <c r="V97" s="2750"/>
      <c r="W97" s="2751"/>
      <c r="X97" s="2603"/>
      <c r="Y97" s="2108"/>
      <c r="Z97" s="2603"/>
      <c r="AA97" s="2108"/>
      <c r="AB97" s="2108"/>
      <c r="AC97" s="2327"/>
      <c r="AD97" s="2438"/>
      <c r="AE97" s="2349" t="s">
        <v>28</v>
      </c>
      <c r="AF97" s="2108"/>
      <c r="AG97" s="2327"/>
      <c r="AH97" s="2438"/>
      <c r="AI97" s="2749" t="s">
        <v>28</v>
      </c>
      <c r="AJ97" s="2108"/>
      <c r="AK97" s="2752"/>
      <c r="AL97" s="2753"/>
      <c r="AM97" s="2754" t="s">
        <v>494</v>
      </c>
      <c r="AN97" s="2755"/>
      <c r="AO97" s="2756"/>
      <c r="AP97" s="2757"/>
      <c r="AQ97" s="2758"/>
      <c r="AR97" s="2759"/>
      <c r="AS97" s="2760"/>
      <c r="AT97" s="1391"/>
      <c r="AU97" s="2255"/>
      <c r="AV97" s="1643"/>
      <c r="AW97" s="1625"/>
      <c r="AX97" s="1625"/>
      <c r="AY97" s="1625"/>
      <c r="AZ97" s="1625"/>
      <c r="BA97" s="1636">
        <v>0</v>
      </c>
    </row>
    <row s="1851" customFormat="1" customHeight="1" ht="11.25">
      <c r="A98" s="1364"/>
      <c r="B98" s="1364"/>
      <c r="C98" s="1364"/>
      <c r="D98" s="1364"/>
      <c r="E98" s="2260">
        <v>1</v>
      </c>
      <c r="F98" s="2260"/>
      <c r="G98" s="2260"/>
      <c r="H98" s="2260"/>
      <c r="I98" s="2287"/>
      <c r="J98" s="2287"/>
      <c r="K98" s="2257"/>
      <c r="L98" s="1370"/>
      <c r="M98" s="1777"/>
      <c r="N98" s="1777"/>
      <c r="O98" s="1777"/>
      <c r="P98" s="2375"/>
      <c r="Q98" s="2375"/>
      <c r="R98" s="2348"/>
      <c r="S98" s="2343"/>
      <c r="T98" s="2346"/>
      <c r="U98" s="301"/>
      <c r="V98" s="2761"/>
      <c r="W98" s="2762"/>
      <c r="X98" s="2603"/>
      <c r="Y98" s="2108"/>
      <c r="Z98" s="2603"/>
      <c r="AA98" s="2108"/>
      <c r="AB98" s="2108"/>
      <c r="AC98" s="2327"/>
      <c r="AD98" s="2438"/>
      <c r="AE98" s="2349" t="s">
        <v>28</v>
      </c>
      <c r="AF98" s="2108"/>
      <c r="AG98" s="2763"/>
      <c r="AH98" s="2764"/>
      <c r="AI98" s="2765" t="s">
        <v>495</v>
      </c>
      <c r="AJ98" s="2766"/>
      <c r="AK98" s="2767"/>
      <c r="AL98" s="2768"/>
      <c r="AM98" s="2769"/>
      <c r="AN98" s="2770"/>
      <c r="AO98" s="2771"/>
      <c r="AP98" s="2772"/>
      <c r="AQ98" s="2773"/>
      <c r="AR98" s="2774"/>
      <c r="AS98" s="2775"/>
      <c r="AT98" s="1391"/>
      <c r="AU98" s="2255"/>
      <c r="AV98" s="1643"/>
      <c r="AW98" s="1625"/>
      <c r="AX98" s="1625"/>
      <c r="AY98" s="1625"/>
      <c r="AZ98" s="1625"/>
      <c r="BA98" s="1636">
        <v>0</v>
      </c>
    </row>
    <row s="1851" customFormat="1" customHeight="1" ht="11.25">
      <c r="A99" s="1364"/>
      <c r="B99" s="1364"/>
      <c r="C99" s="1364"/>
      <c r="D99" s="1364"/>
      <c r="E99" s="2260">
        <v>1</v>
      </c>
      <c r="F99" s="2260"/>
      <c r="G99" s="2260"/>
      <c r="H99" s="2260"/>
      <c r="I99" s="2287"/>
      <c r="J99" s="2287"/>
      <c r="K99" s="2257"/>
      <c r="L99" s="1370"/>
      <c r="M99" s="1777"/>
      <c r="N99" s="1777"/>
      <c r="O99" s="1777"/>
      <c r="P99" s="2375"/>
      <c r="Q99" s="2375"/>
      <c r="R99" s="2348"/>
      <c r="S99" s="2344"/>
      <c r="T99" s="2347"/>
      <c r="U99" s="301"/>
      <c r="V99" s="2776"/>
      <c r="W99" s="2777" t="str">
        <f>X96&amp;"-"&amp;Z96</f>
        <v>-</v>
      </c>
      <c r="X99" s="2310"/>
      <c r="Y99" s="2108"/>
      <c r="Z99" s="2310"/>
      <c r="AA99" s="2108"/>
      <c r="AB99" s="2108"/>
      <c r="AC99" s="2778"/>
      <c r="AD99" s="2779"/>
      <c r="AE99" s="2780" t="s">
        <v>496</v>
      </c>
      <c r="AF99" s="2781"/>
      <c r="AG99" s="2782"/>
      <c r="AH99" s="2783"/>
      <c r="AI99" s="2784"/>
      <c r="AJ99" s="2785"/>
      <c r="AK99" s="2786"/>
      <c r="AL99" s="2787"/>
      <c r="AM99" s="2788"/>
      <c r="AN99" s="2789"/>
      <c r="AO99" s="2790" t="str">
        <f>AP96&amp;"-"&amp;AR96</f>
        <v>45730-46022</v>
      </c>
      <c r="AP99" s="2791"/>
      <c r="AQ99" s="2792"/>
      <c r="AR99" s="2793"/>
      <c r="AS99" s="2794"/>
      <c r="AT99" s="1350"/>
      <c r="AU99" s="2255"/>
      <c r="AV99" s="1643"/>
      <c r="AW99" s="1625"/>
      <c r="AX99" s="1625" t="str">
        <f>IF(T99="","",T99)</f>
        <v/>
      </c>
      <c r="AY99" s="1625"/>
      <c r="AZ99" s="1625"/>
      <c r="BA99" s="1636">
        <v>0</v>
      </c>
    </row>
    <row s="1851" customFormat="1" customHeight="1" ht="11.25">
      <c r="A100" s="1364"/>
      <c r="B100" s="1364"/>
      <c r="C100" s="1364"/>
      <c r="D100" s="1364"/>
      <c r="E100" s="2260">
        <v>1</v>
      </c>
      <c r="F100" s="2260"/>
      <c r="G100" s="2260"/>
      <c r="H100" s="2260"/>
      <c r="I100" s="2287"/>
      <c r="J100" s="2257"/>
      <c r="K100" s="1364"/>
      <c r="L100" s="1370"/>
      <c r="M100" s="1777"/>
      <c r="N100" s="1777"/>
      <c r="O100" s="1777"/>
      <c r="P100" s="2375"/>
      <c r="Q100" s="2375"/>
      <c r="R100" s="357"/>
      <c r="S100" s="2795"/>
      <c r="T100" s="2796" t="s">
        <v>497</v>
      </c>
      <c r="U100" s="2797"/>
      <c r="V100" s="2798"/>
      <c r="W100" s="2799"/>
      <c r="X100" s="2800"/>
      <c r="Y100" s="2801"/>
      <c r="Z100" s="2802"/>
      <c r="AA100" s="2803"/>
      <c r="AB100" s="2804"/>
      <c r="AC100" s="2805"/>
      <c r="AD100" s="2806"/>
      <c r="AE100" s="2807"/>
      <c r="AF100" s="2808"/>
      <c r="AG100" s="2809"/>
      <c r="AH100" s="2810"/>
      <c r="AI100" s="2811"/>
      <c r="AJ100" s="2812"/>
      <c r="AK100" s="2813"/>
      <c r="AL100" s="2814"/>
      <c r="AM100" s="2815"/>
      <c r="AN100" s="2816"/>
      <c r="AO100" s="2817"/>
      <c r="AP100" s="2818"/>
      <c r="AQ100" s="2819"/>
      <c r="AR100" s="2820"/>
      <c r="AS100" s="2821"/>
      <c r="AT100" s="2822"/>
      <c r="AU100" s="2256"/>
      <c r="AV100" s="1643"/>
      <c r="AW100" s="1625"/>
      <c r="AX100" s="1625" t="str">
        <f>IF(T100="","",T100)</f>
        <v>Добавить строку</v>
      </c>
      <c r="AY100" s="1625"/>
      <c r="AZ100" s="1625"/>
      <c r="BA100" s="1636">
        <v>0</v>
      </c>
    </row>
    <row s="623" customFormat="1" customHeight="1" ht="0.75">
      <c r="A101" s="1344"/>
      <c r="B101" s="1344"/>
      <c r="C101" s="1344"/>
      <c r="D101" s="1344"/>
      <c r="E101" s="2260">
        <v>1</v>
      </c>
      <c r="F101" s="2260"/>
      <c r="G101" s="2260"/>
      <c r="H101" s="2260"/>
      <c r="I101" s="2257"/>
      <c r="J101" s="1344"/>
      <c r="K101" s="1344"/>
      <c r="L101" s="1546"/>
      <c r="M101" s="511"/>
      <c r="N101" s="511"/>
      <c r="O101" s="511"/>
      <c r="P101" s="2375"/>
      <c r="Q101" s="2375"/>
      <c r="R101" s="357"/>
      <c r="S101" s="1387"/>
      <c r="T101" s="1388"/>
      <c r="U101" s="1389"/>
      <c r="V101" s="1389"/>
      <c r="W101" s="1389"/>
      <c r="X101" s="1389"/>
      <c r="Y101" s="1389"/>
      <c r="Z101" s="1389"/>
      <c r="AA101" s="1389"/>
      <c r="AB101" s="1389"/>
      <c r="AC101" s="1389"/>
      <c r="AD101" s="1389"/>
      <c r="AE101" s="1389"/>
      <c r="AF101" s="1389"/>
      <c r="AG101" s="1389"/>
      <c r="AH101" s="1389"/>
      <c r="AI101" s="1389"/>
      <c r="AJ101" s="1389"/>
      <c r="AK101" s="1389"/>
      <c r="AL101" s="1389"/>
      <c r="AM101" s="1389"/>
      <c r="AN101" s="1389"/>
      <c r="AO101" s="1389"/>
      <c r="AP101" s="1389"/>
      <c r="AQ101" s="1389"/>
      <c r="AR101" s="1389"/>
      <c r="AS101" s="1389"/>
      <c r="AT101" s="1389"/>
      <c r="AU101" s="1390"/>
      <c r="AV101" s="1643"/>
      <c r="AW101" s="1625"/>
      <c r="AX101" s="1625" t="str">
        <f>IF(T101="","",T101)</f>
        <v/>
      </c>
      <c r="AY101" s="1625"/>
      <c r="AZ101" s="1625"/>
      <c r="BA101" s="1643">
        <v>0</v>
      </c>
    </row>
    <row s="623" customFormat="1" customHeight="1" ht="0.75">
      <c r="A102" s="1344"/>
      <c r="B102" s="1344"/>
      <c r="C102" s="1344"/>
      <c r="D102" s="1344"/>
      <c r="E102" s="2260">
        <v>1</v>
      </c>
      <c r="F102" s="2260"/>
      <c r="G102" s="2260"/>
      <c r="H102" s="2259"/>
      <c r="I102" s="1344"/>
      <c r="J102" s="1344"/>
      <c r="K102" s="1344"/>
      <c r="L102" s="1546"/>
      <c r="M102" s="1316"/>
      <c r="N102" s="1316"/>
      <c r="O102" s="1643"/>
      <c r="P102" s="1317"/>
      <c r="Q102" s="1345"/>
      <c r="R102" s="1402"/>
      <c r="S102" s="1387"/>
      <c r="T102" s="1388"/>
      <c r="U102" s="1389"/>
      <c r="V102" s="1389"/>
      <c r="W102" s="1389"/>
      <c r="X102" s="1389"/>
      <c r="Y102" s="1389"/>
      <c r="Z102" s="1389"/>
      <c r="AA102" s="1389"/>
      <c r="AB102" s="1389"/>
      <c r="AC102" s="1389"/>
      <c r="AD102" s="1389"/>
      <c r="AE102" s="1389"/>
      <c r="AF102" s="1389"/>
      <c r="AG102" s="1389"/>
      <c r="AH102" s="1389"/>
      <c r="AI102" s="1389"/>
      <c r="AJ102" s="1389"/>
      <c r="AK102" s="1389"/>
      <c r="AL102" s="1389"/>
      <c r="AM102" s="1389"/>
      <c r="AN102" s="1389"/>
      <c r="AO102" s="1389"/>
      <c r="AP102" s="1389"/>
      <c r="AQ102" s="1389"/>
      <c r="AR102" s="1389"/>
      <c r="AS102" s="1389"/>
      <c r="AT102" s="1389"/>
      <c r="AU102" s="1390"/>
      <c r="AV102" s="1643"/>
      <c r="AW102" s="1625"/>
      <c r="AX102" s="1625" t="str">
        <f>IF(T102="","",T102)</f>
        <v/>
      </c>
      <c r="AY102" s="1625"/>
      <c r="AZ102" s="1625"/>
      <c r="BA102" s="1643">
        <v>0</v>
      </c>
    </row>
    <row s="623" customFormat="1" customHeight="1" ht="0.75">
      <c r="A103" s="1344"/>
      <c r="B103" s="1344"/>
      <c r="C103" s="1344"/>
      <c r="D103" s="1344"/>
      <c r="E103" s="2260">
        <v>1</v>
      </c>
      <c r="F103" s="2260"/>
      <c r="G103" s="2259"/>
      <c r="H103" s="1344"/>
      <c r="I103" s="1344"/>
      <c r="J103" s="1344"/>
      <c r="K103" s="1344"/>
      <c r="L103" s="1546"/>
      <c r="M103" s="1316"/>
      <c r="N103" s="1316"/>
      <c r="O103" s="1643"/>
      <c r="P103" s="1317"/>
      <c r="Q103" s="1345"/>
      <c r="R103" s="1317"/>
      <c r="S103" s="1323"/>
      <c r="T103" s="1326" t="s">
        <v>218</v>
      </c>
      <c r="U103" s="1325"/>
      <c r="V103" s="1325"/>
      <c r="W103" s="1325"/>
      <c r="X103" s="1325"/>
      <c r="Y103" s="1325"/>
      <c r="Z103" s="1325"/>
      <c r="AA103" s="1325"/>
      <c r="AB103" s="1325"/>
      <c r="AC103" s="1325"/>
      <c r="AD103" s="1325"/>
      <c r="AE103" s="1325"/>
      <c r="AF103" s="1325"/>
      <c r="AG103" s="1325"/>
      <c r="AH103" s="1325"/>
      <c r="AI103" s="1325"/>
      <c r="AJ103" s="1325"/>
      <c r="AK103" s="1325"/>
      <c r="AL103" s="1325"/>
      <c r="AM103" s="1325"/>
      <c r="AN103" s="1325"/>
      <c r="AO103" s="1325"/>
      <c r="AP103" s="1325"/>
      <c r="AQ103" s="1325"/>
      <c r="AR103" s="1325"/>
      <c r="AS103" s="1325"/>
      <c r="AT103" s="1325"/>
      <c r="AU103" s="1325"/>
      <c r="AV103" s="1643"/>
      <c r="AW103" s="1625"/>
      <c r="AX103" s="1625" t="str">
        <f>IF(T103="","",T103)</f>
        <v>Добавить источник для дифференциации</v>
      </c>
      <c r="AY103" s="1625"/>
      <c r="AZ103" s="1625"/>
      <c r="BA103" s="1643">
        <v>0</v>
      </c>
    </row>
    <row s="623" customFormat="1" customHeight="1" ht="0.75">
      <c r="A104" s="1344"/>
      <c r="B104" s="1344"/>
      <c r="C104" s="1344"/>
      <c r="D104" s="1344"/>
      <c r="E104" s="2260">
        <v>1</v>
      </c>
      <c r="F104" s="2259"/>
      <c r="G104" s="1344"/>
      <c r="H104" s="1344"/>
      <c r="I104" s="1344"/>
      <c r="J104" s="1344"/>
      <c r="K104" s="1344"/>
      <c r="L104" s="1546"/>
      <c r="M104" s="1322"/>
      <c r="N104" s="1322"/>
      <c r="O104" s="1643"/>
      <c r="P104" s="1317"/>
      <c r="Q104" s="1345"/>
      <c r="R104" s="1317"/>
      <c r="S104" s="1323"/>
      <c r="T104" s="1326" t="s">
        <v>219</v>
      </c>
      <c r="U104" s="1325"/>
      <c r="V104" s="1325"/>
      <c r="W104" s="1325"/>
      <c r="X104" s="1325"/>
      <c r="Y104" s="1325"/>
      <c r="Z104" s="1325"/>
      <c r="AA104" s="1325"/>
      <c r="AB104" s="1325"/>
      <c r="AC104" s="1325"/>
      <c r="AD104" s="1325"/>
      <c r="AE104" s="1325"/>
      <c r="AF104" s="1325"/>
      <c r="AG104" s="1325"/>
      <c r="AH104" s="1325"/>
      <c r="AI104" s="1325"/>
      <c r="AJ104" s="1325"/>
      <c r="AK104" s="1325"/>
      <c r="AL104" s="1325"/>
      <c r="AM104" s="1325"/>
      <c r="AN104" s="1325"/>
      <c r="AO104" s="1325"/>
      <c r="AP104" s="1325"/>
      <c r="AQ104" s="1325"/>
      <c r="AR104" s="1325"/>
      <c r="AS104" s="1325"/>
      <c r="AT104" s="1325"/>
      <c r="AU104" s="1325"/>
      <c r="AV104" s="1643"/>
      <c r="AW104" s="1625"/>
      <c r="AX104" s="1625" t="str">
        <f>IF(T104="","",T104)</f>
        <v>Добавить централизованную систему для дифференциации</v>
      </c>
      <c r="AY104" s="1625"/>
      <c r="AZ104" s="1625"/>
      <c r="BA104" s="1643">
        <v>0</v>
      </c>
    </row>
    <row s="1851" customFormat="1" customHeight="1" ht="21">
      <c r="A105" s="1364"/>
      <c r="B105" s="1364" t="s">
        <v>233</v>
      </c>
      <c r="C105" s="1364"/>
      <c r="D105" s="1364"/>
      <c r="E105" s="2260"/>
      <c r="F105" s="2259" t="s">
        <v>107</v>
      </c>
      <c r="G105" s="1364"/>
      <c r="H105" s="1364"/>
      <c r="I105" s="1364"/>
      <c r="J105" s="1364"/>
      <c r="K105" s="1364"/>
      <c r="L105" s="1370"/>
      <c r="M105" s="1366"/>
      <c r="N105" s="1366"/>
      <c r="O105" s="1366"/>
      <c r="P105" s="2608"/>
      <c r="Q105" s="1412"/>
      <c r="R105" s="354"/>
      <c r="S105" s="2274" t="str">
        <f>INDEX(PT_DIFFERENTIATION_NUM_TER,MATCH(B105,PT_DIFFERENTIATION_TER_ID,0))</f>
        <v>2.2</v>
      </c>
      <c r="T105" s="1523" t="s">
        <v>430</v>
      </c>
      <c r="U105" s="301"/>
      <c r="V105" s="2244"/>
      <c r="W105" s="2244"/>
      <c r="X105" s="2244"/>
      <c r="Y105" s="2244"/>
      <c r="Z105" s="2244"/>
      <c r="AA105" s="2245"/>
      <c r="AB105" s="2243" t="str">
        <f>INDEX(PT_DIFFERENTIATION_TER,MATCH(B105,PT_DIFFERENTIATION_TER_ID,0))</f>
        <v>Территория 3</v>
      </c>
      <c r="AC105" s="2244"/>
      <c r="AD105" s="2244"/>
      <c r="AE105" s="2244"/>
      <c r="AF105" s="2244"/>
      <c r="AG105" s="2244"/>
      <c r="AH105" s="2244"/>
      <c r="AI105" s="2244"/>
      <c r="AJ105" s="2244"/>
      <c r="AK105" s="2244"/>
      <c r="AL105" s="2244"/>
      <c r="AM105" s="2244"/>
      <c r="AN105" s="2244"/>
      <c r="AO105" s="2244"/>
      <c r="AP105" s="2244"/>
      <c r="AQ105" s="2244"/>
      <c r="AR105" s="2244"/>
      <c r="AS105" s="2244"/>
      <c r="AT105" s="2245"/>
      <c r="AU105" s="1259" t="s">
        <v>431</v>
      </c>
      <c r="AV105" s="1643"/>
      <c r="AW105" s="1625"/>
      <c r="AX105" s="1625" t="str">
        <f>IF(T105="","",T105)</f>
        <v>Территория действия тарифа</v>
      </c>
      <c r="AY105" s="1625"/>
      <c r="AZ105" s="1625"/>
      <c r="BA105" s="1636">
        <v>0</v>
      </c>
    </row>
    <row s="1851" customFormat="1" customHeight="1" ht="22.5">
      <c r="A106" s="1364"/>
      <c r="B106" s="1364"/>
      <c r="C106" s="1364" t="s">
        <v>234</v>
      </c>
      <c r="D106" s="1364"/>
      <c r="E106" s="2260"/>
      <c r="F106" s="2260">
        <v>1</v>
      </c>
      <c r="G106" s="2259">
        <v>1</v>
      </c>
      <c r="H106" s="1364"/>
      <c r="I106" s="1364"/>
      <c r="J106" s="1364"/>
      <c r="K106" s="1364"/>
      <c r="L106" s="1370"/>
      <c r="M106" s="1366"/>
      <c r="N106" s="1366"/>
      <c r="O106" s="1366"/>
      <c r="P106" s="1413"/>
      <c r="Q106" s="1412"/>
      <c r="R106" s="354"/>
      <c r="S106" s="2274" t="str">
        <f>INDEX(PT_DIFFERENTIATION_NUM_CS,MATCH(C106,PT_DIFFERENTIATION_CS_ID,0))</f>
        <v>2.2.1</v>
      </c>
      <c r="T106" s="310" t="s">
        <v>432</v>
      </c>
      <c r="U106" s="301"/>
      <c r="V106" s="2244"/>
      <c r="W106" s="2244"/>
      <c r="X106" s="2244"/>
      <c r="Y106" s="2244"/>
      <c r="Z106" s="2244"/>
      <c r="AA106" s="2245"/>
      <c r="AB106" s="2243" t="str">
        <f>INDEX(PT_DIFFERENTIATION_CS,MATCH(C106,PT_DIFFERENTIATION_CS_ID,0))</f>
        <v>Рощинское сельское поселение с. Рощино</v>
      </c>
      <c r="AC106" s="2244"/>
      <c r="AD106" s="2244"/>
      <c r="AE106" s="2244"/>
      <c r="AF106" s="2244"/>
      <c r="AG106" s="2244"/>
      <c r="AH106" s="2244"/>
      <c r="AI106" s="2244"/>
      <c r="AJ106" s="2244"/>
      <c r="AK106" s="2244"/>
      <c r="AL106" s="2244"/>
      <c r="AM106" s="2244"/>
      <c r="AN106" s="2244"/>
      <c r="AO106" s="2244"/>
      <c r="AP106" s="2244"/>
      <c r="AQ106" s="2244"/>
      <c r="AR106" s="2244"/>
      <c r="AS106" s="2244"/>
      <c r="AT106" s="2245"/>
      <c r="AU106" s="1259" t="s">
        <v>433</v>
      </c>
      <c r="AV106" s="1643"/>
      <c r="AW106" s="1625"/>
      <c r="AX106" s="1625" t="str">
        <f>IF(T106="","",T106)</f>
        <v>Наименование системы теплоснабжения </v>
      </c>
      <c r="AY106" s="1625"/>
      <c r="AZ106" s="1625"/>
      <c r="BA106" s="1636">
        <v>0</v>
      </c>
    </row>
    <row s="1851" customFormat="1" customHeight="1" ht="21">
      <c r="A107" s="1364"/>
      <c r="B107" s="1364"/>
      <c r="C107" s="1364"/>
      <c r="D107" s="1364" t="s">
        <v>235</v>
      </c>
      <c r="E107" s="2260"/>
      <c r="F107" s="2260">
        <v>1</v>
      </c>
      <c r="G107" s="2260"/>
      <c r="H107" s="2259">
        <v>1</v>
      </c>
      <c r="I107" s="1364"/>
      <c r="J107" s="1364"/>
      <c r="K107" s="1364"/>
      <c r="L107" s="1370"/>
      <c r="M107" s="1366"/>
      <c r="N107" s="1366"/>
      <c r="O107" s="1366"/>
      <c r="P107" s="1413"/>
      <c r="Q107" s="1412"/>
      <c r="R107" s="354"/>
      <c r="S107" s="2274" t="str">
        <f>INDEX(PT_DIFFERENTIATION_NUM_IST_TE,MATCH(D107,PT_DIFFERENTIATION_IST_TE_ID,0))</f>
        <v>2.2.1.1</v>
      </c>
      <c r="T107" s="311" t="s">
        <v>434</v>
      </c>
      <c r="U107" s="301"/>
      <c r="V107" s="2244"/>
      <c r="W107" s="2244"/>
      <c r="X107" s="2244"/>
      <c r="Y107" s="2244"/>
      <c r="Z107" s="2244"/>
      <c r="AA107" s="2245"/>
      <c r="AB107" s="2243" t="str">
        <f>INDEX(PT_DIFFERENTIATION_IST_TE,MATCH(D107,PT_DIFFERENTIATION_IST_TE_ID,0))</f>
        <v>без дифференциации</v>
      </c>
      <c r="AC107" s="2244"/>
      <c r="AD107" s="2244"/>
      <c r="AE107" s="2244"/>
      <c r="AF107" s="2244"/>
      <c r="AG107" s="2244"/>
      <c r="AH107" s="2244"/>
      <c r="AI107" s="2244"/>
      <c r="AJ107" s="2244"/>
      <c r="AK107" s="2244"/>
      <c r="AL107" s="2244"/>
      <c r="AM107" s="2244"/>
      <c r="AN107" s="2244"/>
      <c r="AO107" s="2244"/>
      <c r="AP107" s="2244"/>
      <c r="AQ107" s="2244"/>
      <c r="AR107" s="2244"/>
      <c r="AS107" s="2244"/>
      <c r="AT107" s="2245"/>
      <c r="AU107" s="1259" t="s">
        <v>435</v>
      </c>
      <c r="AV107" s="1643"/>
      <c r="AW107" s="1625"/>
      <c r="AX107" s="1625" t="str">
        <f>IF(T107="","",T107)</f>
        <v>Источник тепловой энергии  </v>
      </c>
      <c r="AY107" s="1625"/>
      <c r="AZ107" s="1625"/>
      <c r="BA107" s="1636">
        <v>0</v>
      </c>
    </row>
    <row s="623" customFormat="1" customHeight="1" ht="0.75">
      <c r="A108" s="1344"/>
      <c r="B108" s="1344"/>
      <c r="C108" s="1344"/>
      <c r="D108" s="1344"/>
      <c r="E108" s="2260"/>
      <c r="F108" s="2260">
        <v>1</v>
      </c>
      <c r="G108" s="2260"/>
      <c r="H108" s="2260"/>
      <c r="I108" s="2257" t="str">
        <f>S107&amp;".1"</f>
        <v>2.2.1.1.1</v>
      </c>
      <c r="J108" s="1344"/>
      <c r="K108" s="1344"/>
      <c r="L108" s="1546" t="s">
        <v>436</v>
      </c>
      <c r="M108" s="511"/>
      <c r="N108" s="511"/>
      <c r="O108" s="511"/>
      <c r="P108" s="2375">
        <v>1</v>
      </c>
      <c r="Q108" s="2375"/>
      <c r="R108" s="357"/>
      <c r="S108" s="2305"/>
      <c r="T108" s="1384"/>
      <c r="U108" s="1385"/>
      <c r="V108" s="2298"/>
      <c r="W108" s="2298"/>
      <c r="X108" s="2298"/>
      <c r="Y108" s="2298"/>
      <c r="Z108" s="2298"/>
      <c r="AA108" s="2299"/>
      <c r="AB108" s="2297"/>
      <c r="AC108" s="2298"/>
      <c r="AD108" s="2298"/>
      <c r="AE108" s="2298"/>
      <c r="AF108" s="2298"/>
      <c r="AG108" s="2298"/>
      <c r="AH108" s="2298"/>
      <c r="AI108" s="2298"/>
      <c r="AJ108" s="2298"/>
      <c r="AK108" s="2298"/>
      <c r="AL108" s="2298"/>
      <c r="AM108" s="2298"/>
      <c r="AN108" s="2298"/>
      <c r="AO108" s="2298"/>
      <c r="AP108" s="2298"/>
      <c r="AQ108" s="2298"/>
      <c r="AR108" s="2298"/>
      <c r="AS108" s="2298"/>
      <c r="AT108" s="2299"/>
      <c r="AU108" s="1386"/>
      <c r="AV108" s="1643"/>
      <c r="AW108" s="1625"/>
      <c r="AX108" s="1625" t="str">
        <f>IF(T108="","",T108)</f>
        <v/>
      </c>
      <c r="AY108" s="1625"/>
      <c r="AZ108" s="1625"/>
      <c r="BA108" s="1643">
        <v>0</v>
      </c>
    </row>
    <row s="623" customFormat="1" customHeight="1" ht="0.75">
      <c r="A109" s="1344"/>
      <c r="B109" s="1344"/>
      <c r="C109" s="1344"/>
      <c r="D109" s="1344"/>
      <c r="E109" s="2260"/>
      <c r="F109" s="2260">
        <v>1</v>
      </c>
      <c r="G109" s="2260"/>
      <c r="H109" s="2260"/>
      <c r="I109" s="2287"/>
      <c r="J109" s="2257" t="str">
        <f>S107&amp;".1"</f>
        <v>2.2.1.1.1</v>
      </c>
      <c r="K109" s="1344"/>
      <c r="L109" s="1546"/>
      <c r="M109" s="511"/>
      <c r="N109" s="511"/>
      <c r="O109" s="511"/>
      <c r="P109" s="2375"/>
      <c r="Q109" s="2375">
        <v>1</v>
      </c>
      <c r="R109" s="358"/>
      <c r="S109" s="2305"/>
      <c r="T109" s="1400"/>
      <c r="U109" s="1385"/>
      <c r="V109" s="2298"/>
      <c r="W109" s="2298"/>
      <c r="X109" s="2298"/>
      <c r="Y109" s="2298"/>
      <c r="Z109" s="2298"/>
      <c r="AA109" s="2299"/>
      <c r="AB109" s="2297"/>
      <c r="AC109" s="2298"/>
      <c r="AD109" s="2298"/>
      <c r="AE109" s="2298"/>
      <c r="AF109" s="2298"/>
      <c r="AG109" s="2298"/>
      <c r="AH109" s="2298"/>
      <c r="AI109" s="2298"/>
      <c r="AJ109" s="2298"/>
      <c r="AK109" s="2298"/>
      <c r="AL109" s="2298"/>
      <c r="AM109" s="2298"/>
      <c r="AN109" s="2298"/>
      <c r="AO109" s="2298"/>
      <c r="AP109" s="2298"/>
      <c r="AQ109" s="2298"/>
      <c r="AR109" s="2298"/>
      <c r="AS109" s="2298"/>
      <c r="AT109" s="2299"/>
      <c r="AU109" s="1386"/>
      <c r="AV109" s="1643"/>
      <c r="AW109" s="1625"/>
      <c r="AX109" s="1625" t="str">
        <f>IF(T109="","",T109)</f>
        <v/>
      </c>
      <c r="AY109" s="1625"/>
      <c r="AZ109" s="1625"/>
      <c r="BA109" s="1643">
        <v>0</v>
      </c>
    </row>
    <row s="1851" customFormat="1" customHeight="1" ht="21">
      <c r="A110" s="1364"/>
      <c r="B110" s="1364"/>
      <c r="C110" s="1364"/>
      <c r="D110" s="1364"/>
      <c r="E110" s="2260"/>
      <c r="F110" s="2260">
        <v>1</v>
      </c>
      <c r="G110" s="2260"/>
      <c r="H110" s="2260"/>
      <c r="I110" s="2287"/>
      <c r="J110" s="2287"/>
      <c r="K110" s="2257" t="str">
        <f>S107&amp;".1"</f>
        <v>2.2.1.1.1</v>
      </c>
      <c r="L110" s="1370"/>
      <c r="M110" s="1777"/>
      <c r="N110" s="1777"/>
      <c r="O110" s="1777"/>
      <c r="P110" s="2375"/>
      <c r="Q110" s="2375"/>
      <c r="R110" s="2348">
        <v>1</v>
      </c>
      <c r="S110" s="2342" t="str">
        <f>$K110</f>
        <v>2.2.1.1.1</v>
      </c>
      <c r="T110" s="2345" t="s">
        <v>510</v>
      </c>
      <c r="U110" s="301"/>
      <c r="V110" s="752"/>
      <c r="W110" s="1258"/>
      <c r="X110" s="2603"/>
      <c r="Y110" s="2108" t="s">
        <v>64</v>
      </c>
      <c r="Z110" s="2603"/>
      <c r="AA110" s="2108" t="s">
        <v>64</v>
      </c>
      <c r="AB110" s="2108" t="s">
        <v>19</v>
      </c>
      <c r="AC110" s="2327"/>
      <c r="AD110" s="2438">
        <v>1</v>
      </c>
      <c r="AE110" s="2349" t="s">
        <v>28</v>
      </c>
      <c r="AF110" s="2108" t="s">
        <v>19</v>
      </c>
      <c r="AG110" s="2327"/>
      <c r="AH110" s="2438">
        <v>1</v>
      </c>
      <c r="AI110" s="2328" t="s">
        <v>512</v>
      </c>
      <c r="AJ110" s="2108" t="s">
        <v>19</v>
      </c>
      <c r="AK110" s="312"/>
      <c r="AL110" s="2438">
        <v>1</v>
      </c>
      <c r="AM110" s="2563" t="s">
        <v>513</v>
      </c>
      <c r="AN110" s="752"/>
      <c r="AO110" s="1258">
        <v>102934.365</v>
      </c>
      <c r="AP110" s="2603">
        <v>45783</v>
      </c>
      <c r="AQ110" s="2108" t="s">
        <v>64</v>
      </c>
      <c r="AR110" s="2603">
        <v>46022</v>
      </c>
      <c r="AS110" s="2108" t="s">
        <v>64</v>
      </c>
      <c r="AT110" s="1349"/>
      <c r="AU110" s="2254" t="s">
        <v>493</v>
      </c>
      <c r="AV110" s="1643">
        <f>STRCHECKDATE(V113:AT113)</f>
      </c>
      <c r="AW110" s="1625"/>
      <c r="AX110" s="1625" t="str">
        <f>IF(T110="","",T110)</f>
        <v>Котельная</v>
      </c>
      <c r="AY110" s="1625"/>
      <c r="AZ110" s="1625"/>
      <c r="BA110" s="1636">
        <v>0</v>
      </c>
    </row>
    <row s="1851" customFormat="1" customHeight="1" ht="11.25">
      <c r="A111" s="1364"/>
      <c r="B111" s="1364"/>
      <c r="C111" s="1364"/>
      <c r="D111" s="1364"/>
      <c r="E111" s="2260"/>
      <c r="F111" s="2260">
        <v>1</v>
      </c>
      <c r="G111" s="2260"/>
      <c r="H111" s="2260"/>
      <c r="I111" s="2287"/>
      <c r="J111" s="2287"/>
      <c r="K111" s="2257"/>
      <c r="L111" s="1370"/>
      <c r="M111" s="1777"/>
      <c r="N111" s="1777"/>
      <c r="O111" s="1777"/>
      <c r="P111" s="2375"/>
      <c r="Q111" s="2375"/>
      <c r="R111" s="2348"/>
      <c r="S111" s="2343"/>
      <c r="T111" s="2346"/>
      <c r="U111" s="301"/>
      <c r="V111" s="2926"/>
      <c r="W111" s="2927"/>
      <c r="X111" s="2603"/>
      <c r="Y111" s="2108"/>
      <c r="Z111" s="2603"/>
      <c r="AA111" s="2108"/>
      <c r="AB111" s="2108"/>
      <c r="AC111" s="2327"/>
      <c r="AD111" s="2438"/>
      <c r="AE111" s="2349" t="s">
        <v>28</v>
      </c>
      <c r="AF111" s="2108"/>
      <c r="AG111" s="2327"/>
      <c r="AH111" s="2438"/>
      <c r="AI111" s="2328"/>
      <c r="AJ111" s="2108"/>
      <c r="AK111" s="2928"/>
      <c r="AL111" s="2929"/>
      <c r="AM111" s="2930" t="s">
        <v>494</v>
      </c>
      <c r="AN111" s="2931"/>
      <c r="AO111" s="2932"/>
      <c r="AP111" s="2933"/>
      <c r="AQ111" s="2934"/>
      <c r="AR111" s="2935"/>
      <c r="AS111" s="2936"/>
      <c r="AT111" s="1391"/>
      <c r="AU111" s="2255"/>
      <c r="AV111" s="1643"/>
      <c r="AW111" s="1625"/>
      <c r="AX111" s="1625"/>
      <c r="AY111" s="1625"/>
      <c r="AZ111" s="1625"/>
      <c r="BA111" s="1636">
        <v>0</v>
      </c>
    </row>
    <row s="1851" customFormat="1" customHeight="1" ht="11.25">
      <c r="A112" s="1364"/>
      <c r="B112" s="1364"/>
      <c r="C112" s="1364"/>
      <c r="D112" s="1364"/>
      <c r="E112" s="2260"/>
      <c r="F112" s="2260">
        <v>1</v>
      </c>
      <c r="G112" s="2260"/>
      <c r="H112" s="2260"/>
      <c r="I112" s="2287"/>
      <c r="J112" s="2287"/>
      <c r="K112" s="2257"/>
      <c r="L112" s="1370"/>
      <c r="M112" s="1777"/>
      <c r="N112" s="1777"/>
      <c r="O112" s="1777"/>
      <c r="P112" s="2375"/>
      <c r="Q112" s="2375"/>
      <c r="R112" s="2348"/>
      <c r="S112" s="2343"/>
      <c r="T112" s="2346"/>
      <c r="U112" s="301"/>
      <c r="V112" s="2937"/>
      <c r="W112" s="2938"/>
      <c r="X112" s="2603"/>
      <c r="Y112" s="2108"/>
      <c r="Z112" s="2603"/>
      <c r="AA112" s="2108"/>
      <c r="AB112" s="2108"/>
      <c r="AC112" s="2327"/>
      <c r="AD112" s="2438"/>
      <c r="AE112" s="2349" t="s">
        <v>28</v>
      </c>
      <c r="AF112" s="2108"/>
      <c r="AG112" s="2939"/>
      <c r="AH112" s="2940"/>
      <c r="AI112" s="2941" t="s">
        <v>495</v>
      </c>
      <c r="AJ112" s="2942"/>
      <c r="AK112" s="2943"/>
      <c r="AL112" s="2944"/>
      <c r="AM112" s="2945"/>
      <c r="AN112" s="2946"/>
      <c r="AO112" s="2947"/>
      <c r="AP112" s="2948"/>
      <c r="AQ112" s="2949"/>
      <c r="AR112" s="2950"/>
      <c r="AS112" s="2951"/>
      <c r="AT112" s="1391"/>
      <c r="AU112" s="2255"/>
      <c r="AV112" s="1643"/>
      <c r="AW112" s="1625"/>
      <c r="AX112" s="1625"/>
      <c r="AY112" s="1625"/>
      <c r="AZ112" s="1625"/>
      <c r="BA112" s="1636">
        <v>0</v>
      </c>
    </row>
    <row s="1851" customFormat="1" customHeight="1" ht="11.25">
      <c r="A113" s="1364"/>
      <c r="B113" s="1364"/>
      <c r="C113" s="1364"/>
      <c r="D113" s="1364"/>
      <c r="E113" s="2260"/>
      <c r="F113" s="2260">
        <v>1</v>
      </c>
      <c r="G113" s="2260"/>
      <c r="H113" s="2260"/>
      <c r="I113" s="2287"/>
      <c r="J113" s="2287"/>
      <c r="K113" s="2257"/>
      <c r="L113" s="1370"/>
      <c r="M113" s="1777"/>
      <c r="N113" s="1777"/>
      <c r="O113" s="1777"/>
      <c r="P113" s="2375"/>
      <c r="Q113" s="2375"/>
      <c r="R113" s="2348"/>
      <c r="S113" s="2344"/>
      <c r="T113" s="2347"/>
      <c r="U113" s="301"/>
      <c r="V113" s="2952"/>
      <c r="W113" s="2953" t="str">
        <f>X110&amp;"-"&amp;Z110</f>
        <v>-</v>
      </c>
      <c r="X113" s="2310"/>
      <c r="Y113" s="2108"/>
      <c r="Z113" s="2310"/>
      <c r="AA113" s="2108"/>
      <c r="AB113" s="2108"/>
      <c r="AC113" s="2954"/>
      <c r="AD113" s="2955"/>
      <c r="AE113" s="2956" t="s">
        <v>496</v>
      </c>
      <c r="AF113" s="2957"/>
      <c r="AG113" s="2958"/>
      <c r="AH113" s="2959"/>
      <c r="AI113" s="2960"/>
      <c r="AJ113" s="2961"/>
      <c r="AK113" s="2962"/>
      <c r="AL113" s="2963"/>
      <c r="AM113" s="2964"/>
      <c r="AN113" s="2965"/>
      <c r="AO113" s="2966" t="str">
        <f>AP110&amp;"-"&amp;AR110</f>
        <v>45783-46022</v>
      </c>
      <c r="AP113" s="2967"/>
      <c r="AQ113" s="2968"/>
      <c r="AR113" s="2969"/>
      <c r="AS113" s="2970"/>
      <c r="AT113" s="1350"/>
      <c r="AU113" s="2255"/>
      <c r="AV113" s="1643"/>
      <c r="AW113" s="1625"/>
      <c r="AX113" s="1625" t="str">
        <f>IF(T113="","",T113)</f>
        <v/>
      </c>
      <c r="AY113" s="1625"/>
      <c r="AZ113" s="1625"/>
      <c r="BA113" s="1636">
        <v>0</v>
      </c>
    </row>
    <row s="1851" customFormat="1" customHeight="1" ht="11.25">
      <c r="A114" s="1364"/>
      <c r="B114" s="1364"/>
      <c r="C114" s="1364"/>
      <c r="D114" s="1364"/>
      <c r="E114" s="2260"/>
      <c r="F114" s="2260">
        <v>1</v>
      </c>
      <c r="G114" s="2260"/>
      <c r="H114" s="2260"/>
      <c r="I114" s="2287"/>
      <c r="J114" s="2257"/>
      <c r="K114" s="1364"/>
      <c r="L114" s="1370"/>
      <c r="M114" s="1777"/>
      <c r="N114" s="1777"/>
      <c r="O114" s="1777"/>
      <c r="P114" s="2375"/>
      <c r="Q114" s="2375"/>
      <c r="R114" s="357"/>
      <c r="S114" s="2971"/>
      <c r="T114" s="2972" t="s">
        <v>497</v>
      </c>
      <c r="U114" s="2973"/>
      <c r="V114" s="2974"/>
      <c r="W114" s="2975"/>
      <c r="X114" s="2976"/>
      <c r="Y114" s="2977"/>
      <c r="Z114" s="2978"/>
      <c r="AA114" s="2979"/>
      <c r="AB114" s="2980"/>
      <c r="AC114" s="2981"/>
      <c r="AD114" s="2982"/>
      <c r="AE114" s="2983"/>
      <c r="AF114" s="2984"/>
      <c r="AG114" s="2985"/>
      <c r="AH114" s="2986"/>
      <c r="AI114" s="2987"/>
      <c r="AJ114" s="2988"/>
      <c r="AK114" s="2989"/>
      <c r="AL114" s="2990"/>
      <c r="AM114" s="2991"/>
      <c r="AN114" s="2992"/>
      <c r="AO114" s="2993"/>
      <c r="AP114" s="2994"/>
      <c r="AQ114" s="2995"/>
      <c r="AR114" s="2996"/>
      <c r="AS114" s="2997"/>
      <c r="AT114" s="2998"/>
      <c r="AU114" s="2256"/>
      <c r="AV114" s="1643"/>
      <c r="AW114" s="1625"/>
      <c r="AX114" s="1625" t="str">
        <f>IF(T114="","",T114)</f>
        <v>Добавить строку</v>
      </c>
      <c r="AY114" s="1625"/>
      <c r="AZ114" s="1625"/>
      <c r="BA114" s="1636">
        <v>0</v>
      </c>
    </row>
    <row s="623" customFormat="1" customHeight="1" ht="0.75">
      <c r="A115" s="1344"/>
      <c r="B115" s="1344"/>
      <c r="C115" s="1344"/>
      <c r="D115" s="1344"/>
      <c r="E115" s="2260"/>
      <c r="F115" s="2260">
        <v>1</v>
      </c>
      <c r="G115" s="2260"/>
      <c r="H115" s="2260"/>
      <c r="I115" s="2257"/>
      <c r="J115" s="1344"/>
      <c r="K115" s="1344"/>
      <c r="L115" s="1546"/>
      <c r="M115" s="511"/>
      <c r="N115" s="511"/>
      <c r="O115" s="511"/>
      <c r="P115" s="2375"/>
      <c r="Q115" s="2375"/>
      <c r="R115" s="357"/>
      <c r="S115" s="1387"/>
      <c r="T115" s="1388"/>
      <c r="U115" s="1389"/>
      <c r="V115" s="1389"/>
      <c r="W115" s="1389"/>
      <c r="X115" s="1389"/>
      <c r="Y115" s="1389"/>
      <c r="Z115" s="1389"/>
      <c r="AA115" s="1389"/>
      <c r="AB115" s="1389"/>
      <c r="AC115" s="1389"/>
      <c r="AD115" s="1389"/>
      <c r="AE115" s="1389"/>
      <c r="AF115" s="1389"/>
      <c r="AG115" s="1389"/>
      <c r="AH115" s="1389"/>
      <c r="AI115" s="1389"/>
      <c r="AJ115" s="1389"/>
      <c r="AK115" s="1389"/>
      <c r="AL115" s="1389"/>
      <c r="AM115" s="1389"/>
      <c r="AN115" s="1389"/>
      <c r="AO115" s="1389"/>
      <c r="AP115" s="1389"/>
      <c r="AQ115" s="1389"/>
      <c r="AR115" s="1389"/>
      <c r="AS115" s="1389"/>
      <c r="AT115" s="1389"/>
      <c r="AU115" s="1390"/>
      <c r="AV115" s="1643"/>
      <c r="AW115" s="1625"/>
      <c r="AX115" s="1625" t="str">
        <f>IF(T115="","",T115)</f>
        <v/>
      </c>
      <c r="AY115" s="1625"/>
      <c r="AZ115" s="1625"/>
      <c r="BA115" s="1643">
        <v>0</v>
      </c>
    </row>
    <row s="623" customFormat="1" customHeight="1" ht="0.75">
      <c r="A116" s="1344"/>
      <c r="B116" s="1344"/>
      <c r="C116" s="1344"/>
      <c r="D116" s="1344"/>
      <c r="E116" s="2260"/>
      <c r="F116" s="2260">
        <v>1</v>
      </c>
      <c r="G116" s="2260"/>
      <c r="H116" s="2259"/>
      <c r="I116" s="1344"/>
      <c r="J116" s="1344"/>
      <c r="K116" s="1344"/>
      <c r="L116" s="1546"/>
      <c r="M116" s="1316"/>
      <c r="N116" s="1316"/>
      <c r="O116" s="1643"/>
      <c r="P116" s="1317"/>
      <c r="Q116" s="1345"/>
      <c r="R116" s="1402"/>
      <c r="S116" s="1387"/>
      <c r="T116" s="1388"/>
      <c r="U116" s="1389"/>
      <c r="V116" s="1389"/>
      <c r="W116" s="1389"/>
      <c r="X116" s="1389"/>
      <c r="Y116" s="1389"/>
      <c r="Z116" s="1389"/>
      <c r="AA116" s="1389"/>
      <c r="AB116" s="1389"/>
      <c r="AC116" s="1389"/>
      <c r="AD116" s="1389"/>
      <c r="AE116" s="1389"/>
      <c r="AF116" s="1389"/>
      <c r="AG116" s="1389"/>
      <c r="AH116" s="1389"/>
      <c r="AI116" s="1389"/>
      <c r="AJ116" s="1389"/>
      <c r="AK116" s="1389"/>
      <c r="AL116" s="1389"/>
      <c r="AM116" s="1389"/>
      <c r="AN116" s="1389"/>
      <c r="AO116" s="1389"/>
      <c r="AP116" s="1389"/>
      <c r="AQ116" s="1389"/>
      <c r="AR116" s="1389"/>
      <c r="AS116" s="1389"/>
      <c r="AT116" s="1389"/>
      <c r="AU116" s="1390"/>
      <c r="AV116" s="1643"/>
      <c r="AW116" s="1625"/>
      <c r="AX116" s="1625" t="str">
        <f>IF(T116="","",T116)</f>
        <v/>
      </c>
      <c r="AY116" s="1625"/>
      <c r="AZ116" s="1625"/>
      <c r="BA116" s="1643">
        <v>0</v>
      </c>
    </row>
    <row s="623" customFormat="1" customHeight="1" ht="0.75">
      <c r="A117" s="1344"/>
      <c r="B117" s="1344"/>
      <c r="C117" s="1344"/>
      <c r="D117" s="1344"/>
      <c r="E117" s="2260"/>
      <c r="F117" s="2260">
        <v>1</v>
      </c>
      <c r="G117" s="2259"/>
      <c r="H117" s="1344"/>
      <c r="I117" s="1344"/>
      <c r="J117" s="1344"/>
      <c r="K117" s="1344"/>
      <c r="L117" s="1546"/>
      <c r="M117" s="1316"/>
      <c r="N117" s="1316"/>
      <c r="O117" s="1643"/>
      <c r="P117" s="1317"/>
      <c r="Q117" s="1345"/>
      <c r="R117" s="1317"/>
      <c r="S117" s="1323"/>
      <c r="T117" s="1326" t="s">
        <v>218</v>
      </c>
      <c r="U117" s="1325"/>
      <c r="V117" s="1325"/>
      <c r="W117" s="1325"/>
      <c r="X117" s="1325"/>
      <c r="Y117" s="1325"/>
      <c r="Z117" s="1325"/>
      <c r="AA117" s="1325"/>
      <c r="AB117" s="1325"/>
      <c r="AC117" s="1325"/>
      <c r="AD117" s="1325"/>
      <c r="AE117" s="1325"/>
      <c r="AF117" s="1325"/>
      <c r="AG117" s="1325"/>
      <c r="AH117" s="1325"/>
      <c r="AI117" s="1325"/>
      <c r="AJ117" s="1325"/>
      <c r="AK117" s="1325"/>
      <c r="AL117" s="1325"/>
      <c r="AM117" s="1325"/>
      <c r="AN117" s="1325"/>
      <c r="AO117" s="1325"/>
      <c r="AP117" s="1325"/>
      <c r="AQ117" s="1325"/>
      <c r="AR117" s="1325"/>
      <c r="AS117" s="1325"/>
      <c r="AT117" s="1325"/>
      <c r="AU117" s="1325"/>
      <c r="AV117" s="1643"/>
      <c r="AW117" s="1625"/>
      <c r="AX117" s="1625" t="str">
        <f>IF(T117="","",T117)</f>
        <v>Добавить источник для дифференциации</v>
      </c>
      <c r="AY117" s="1625"/>
      <c r="AZ117" s="1625"/>
      <c r="BA117" s="1643">
        <v>0</v>
      </c>
    </row>
    <row s="623" customFormat="1" customHeight="1" ht="0.75">
      <c r="A118" s="1344"/>
      <c r="B118" s="1344"/>
      <c r="C118" s="1344"/>
      <c r="D118" s="1344"/>
      <c r="E118" s="2260"/>
      <c r="F118" s="2259">
        <v>1</v>
      </c>
      <c r="G118" s="1344"/>
      <c r="H118" s="1344"/>
      <c r="I118" s="1344"/>
      <c r="J118" s="1344"/>
      <c r="K118" s="1344"/>
      <c r="L118" s="1546"/>
      <c r="M118" s="1322"/>
      <c r="N118" s="1322"/>
      <c r="O118" s="1643"/>
      <c r="P118" s="1317"/>
      <c r="Q118" s="1345"/>
      <c r="R118" s="1317"/>
      <c r="S118" s="1323"/>
      <c r="T118" s="1326" t="s">
        <v>219</v>
      </c>
      <c r="U118" s="1325"/>
      <c r="V118" s="1325"/>
      <c r="W118" s="1325"/>
      <c r="X118" s="1325"/>
      <c r="Y118" s="1325"/>
      <c r="Z118" s="1325"/>
      <c r="AA118" s="1325"/>
      <c r="AB118" s="1325"/>
      <c r="AC118" s="1325"/>
      <c r="AD118" s="1325"/>
      <c r="AE118" s="1325"/>
      <c r="AF118" s="1325"/>
      <c r="AG118" s="1325"/>
      <c r="AH118" s="1325"/>
      <c r="AI118" s="1325"/>
      <c r="AJ118" s="1325"/>
      <c r="AK118" s="1325"/>
      <c r="AL118" s="1325"/>
      <c r="AM118" s="1325"/>
      <c r="AN118" s="1325"/>
      <c r="AO118" s="1325"/>
      <c r="AP118" s="1325"/>
      <c r="AQ118" s="1325"/>
      <c r="AR118" s="1325"/>
      <c r="AS118" s="1325"/>
      <c r="AT118" s="1325"/>
      <c r="AU118" s="1325"/>
      <c r="AV118" s="1643"/>
      <c r="AW118" s="1625"/>
      <c r="AX118" s="1625" t="str">
        <f>IF(T118="","",T118)</f>
        <v>Добавить централизованную систему для дифференциации</v>
      </c>
      <c r="AY118" s="1625"/>
      <c r="AZ118" s="1625"/>
      <c r="BA118" s="1643">
        <v>0</v>
      </c>
    </row>
    <row s="623" customFormat="1" customHeight="1" ht="0.75">
      <c r="A119" s="1344"/>
      <c r="B119" s="1344"/>
      <c r="C119" s="1344"/>
      <c r="D119" s="1344"/>
      <c r="E119" s="2259">
        <v>1</v>
      </c>
      <c r="F119" s="1344"/>
      <c r="G119" s="1344"/>
      <c r="H119" s="1344"/>
      <c r="I119" s="1344"/>
      <c r="J119" s="1344"/>
      <c r="K119" s="1344"/>
      <c r="L119" s="1546"/>
      <c r="M119" s="1322"/>
      <c r="N119" s="1322"/>
      <c r="O119" s="1643"/>
      <c r="P119" s="1317"/>
      <c r="Q119" s="1345"/>
      <c r="R119" s="1317"/>
      <c r="S119" s="1323"/>
      <c r="T119" s="1326" t="s">
        <v>227</v>
      </c>
      <c r="U119" s="1325"/>
      <c r="V119" s="1325"/>
      <c r="W119" s="1325"/>
      <c r="X119" s="1325"/>
      <c r="Y119" s="1325"/>
      <c r="Z119" s="1325"/>
      <c r="AA119" s="1325"/>
      <c r="AB119" s="1325"/>
      <c r="AC119" s="1325"/>
      <c r="AD119" s="1325"/>
      <c r="AE119" s="1325"/>
      <c r="AF119" s="1325"/>
      <c r="AG119" s="1325"/>
      <c r="AH119" s="1325"/>
      <c r="AI119" s="1325"/>
      <c r="AJ119" s="1325"/>
      <c r="AK119" s="1325"/>
      <c r="AL119" s="1325"/>
      <c r="AM119" s="1325"/>
      <c r="AN119" s="1325"/>
      <c r="AO119" s="1325"/>
      <c r="AP119" s="1325"/>
      <c r="AQ119" s="1325"/>
      <c r="AR119" s="1325"/>
      <c r="AS119" s="1325"/>
      <c r="AT119" s="1325"/>
      <c r="AU119" s="1325"/>
      <c r="AV119" s="1643"/>
      <c r="AW119" s="1625"/>
      <c r="AX119" s="1625" t="str">
        <f>IF(T119="","",T119)</f>
        <v>Добавить территорию для дифференциации</v>
      </c>
      <c r="AY119" s="1625"/>
      <c r="AZ119" s="1625"/>
      <c r="BA119" s="1643">
        <v>0</v>
      </c>
    </row>
    <row s="1643" customFormat="1" customHeight="1" ht="1.05">
      <c r="A120" s="1315"/>
      <c r="B120" s="1315"/>
      <c r="C120" s="1315"/>
      <c r="D120" s="1315"/>
      <c r="E120" s="1344"/>
      <c r="F120" s="1315"/>
      <c r="G120" s="1315"/>
      <c r="H120" s="1315"/>
      <c r="I120" s="1315"/>
      <c r="J120" s="1315"/>
      <c r="K120" s="1315"/>
      <c r="L120" s="1340"/>
      <c r="M120" s="1322"/>
      <c r="N120" s="1322"/>
      <c r="P120" s="1317"/>
      <c r="Q120" s="1318"/>
      <c r="R120" s="1317"/>
      <c r="S120" s="1323"/>
      <c r="T120" s="1326" t="s">
        <v>236</v>
      </c>
      <c r="U120" s="1325"/>
      <c r="V120" s="1325"/>
      <c r="W120" s="1325"/>
      <c r="X120" s="1325"/>
      <c r="Y120" s="1325"/>
      <c r="Z120" s="1325"/>
      <c r="AA120" s="1325"/>
      <c r="AB120" s="1325"/>
      <c r="AC120" s="1325"/>
      <c r="AD120" s="1325"/>
      <c r="AE120" s="1325"/>
      <c r="AF120" s="1325"/>
      <c r="AG120" s="1325"/>
      <c r="AH120" s="1325"/>
      <c r="AI120" s="1325"/>
      <c r="AJ120" s="1325"/>
      <c r="AK120" s="1325"/>
      <c r="AL120" s="1325"/>
      <c r="AM120" s="1325"/>
      <c r="AN120" s="1325"/>
      <c r="AO120" s="1325"/>
      <c r="AP120" s="1325"/>
      <c r="AQ120" s="1325"/>
      <c r="AR120" s="1325"/>
      <c r="AS120" s="1325"/>
      <c r="AT120" s="1325"/>
      <c r="AU120" s="1325"/>
      <c r="AW120" s="790"/>
      <c r="AX120" s="790" t="str">
        <f>IF(T120="","",T120)</f>
        <v>Добавить наименование тарифа</v>
      </c>
      <c r="AY120" s="790"/>
      <c r="AZ120" s="790"/>
      <c r="BA120" s="519">
        <v>1</v>
      </c>
    </row>
    <row customHeight="1" ht="11.549999999999999">
      <c r="M121" s="1161"/>
      <c r="N121" s="1161"/>
      <c r="O121" s="538"/>
      <c r="P121" s="1161"/>
      <c r="Q121" s="1161"/>
      <c r="R121" s="1156"/>
      <c r="S121" s="1156"/>
      <c r="AV121" s="1156"/>
      <c r="AW121" s="1156"/>
      <c r="AX121" s="1156"/>
      <c r="AY121" s="1156"/>
      <c r="AZ121" s="1156"/>
      <c r="BA121" s="1156">
        <v>11</v>
      </c>
    </row>
    <row customHeight="1" ht="19.95">
      <c r="O122" s="538"/>
      <c r="S122" s="1254"/>
      <c r="T122" s="2286"/>
      <c r="U122" s="2286"/>
      <c r="V122" s="2286"/>
      <c r="W122" s="2286"/>
      <c r="X122" s="2286"/>
      <c r="Y122" s="2286"/>
      <c r="Z122" s="2286"/>
      <c r="AA122" s="2286"/>
      <c r="AB122" s="2286"/>
      <c r="AC122" s="2286"/>
      <c r="AD122" s="2286"/>
      <c r="AE122" s="2286"/>
      <c r="AF122" s="2286"/>
      <c r="AG122" s="2286"/>
      <c r="AH122" s="2286"/>
      <c r="AI122" s="2286"/>
      <c r="AJ122" s="2286"/>
      <c r="AK122" s="2286"/>
      <c r="AL122" s="2286"/>
      <c r="AM122" s="2286"/>
      <c r="AN122" s="2286"/>
      <c r="AO122" s="2286"/>
      <c r="AP122" s="2286"/>
      <c r="AQ122" s="2286"/>
      <c r="AR122" s="2286"/>
      <c r="AS122" s="2286"/>
      <c r="AT122" s="2286"/>
      <c r="AU122" s="2286"/>
      <c r="BA122" s="1156">
        <v>19</v>
      </c>
    </row>
    <row customHeight="1" ht="21">
      <c r="O123" s="538"/>
      <c r="T123" s="2286"/>
      <c r="U123" s="2286"/>
      <c r="V123" s="2286"/>
      <c r="W123" s="2286"/>
      <c r="X123" s="2286"/>
      <c r="Y123" s="2286"/>
      <c r="Z123" s="2286"/>
      <c r="AA123" s="2286"/>
      <c r="AB123" s="2286"/>
      <c r="AC123" s="2286"/>
      <c r="AD123" s="2286"/>
      <c r="AE123" s="2286"/>
      <c r="AF123" s="2286"/>
      <c r="AG123" s="2286"/>
      <c r="AH123" s="2286"/>
      <c r="AI123" s="2286"/>
      <c r="AJ123" s="2286"/>
      <c r="AK123" s="2286"/>
      <c r="AL123" s="2286"/>
      <c r="AM123" s="2286"/>
      <c r="AN123" s="2286"/>
      <c r="AO123" s="2286"/>
      <c r="AP123" s="2286"/>
      <c r="AQ123" s="2286"/>
      <c r="AR123" s="2286"/>
      <c r="AS123" s="2286"/>
      <c r="AT123" s="2286"/>
      <c r="AU123" s="2286"/>
      <c r="BA123" s="1156">
        <v>20</v>
      </c>
    </row>
    <row customHeight="1" ht="14.699999999999998">
      <c r="O124" s="538"/>
      <c r="T124" s="1334"/>
      <c r="U124" s="1334"/>
      <c r="V124" s="1334"/>
      <c r="W124" s="1334"/>
      <c r="X124" s="1334"/>
      <c r="Y124" s="1334"/>
      <c r="Z124" s="1334"/>
      <c r="AA124" s="1334"/>
      <c r="AB124" s="1334"/>
      <c r="AC124" s="1334"/>
      <c r="AD124" s="1334"/>
      <c r="AE124" s="1334"/>
      <c r="AF124" s="1334"/>
      <c r="AG124" s="1334"/>
      <c r="AH124" s="1334"/>
      <c r="AI124" s="1334"/>
      <c r="AJ124" s="1334"/>
      <c r="AK124" s="1334"/>
      <c r="AL124" s="1334"/>
      <c r="AM124" s="1334"/>
      <c r="AN124" s="1334"/>
      <c r="AO124" s="1334"/>
      <c r="AP124" s="1334"/>
      <c r="AQ124" s="1334"/>
      <c r="AR124" s="1334"/>
      <c r="AS124" s="1334"/>
      <c r="AT124" s="1334"/>
      <c r="AU124" s="1334"/>
      <c r="BA124" s="1156">
        <v>14</v>
      </c>
    </row>
    <row customHeight="1" ht="19.95">
      <c r="O125" s="538"/>
      <c r="T125" s="2286"/>
      <c r="U125" s="2286"/>
      <c r="V125" s="2286"/>
      <c r="W125" s="2286"/>
      <c r="X125" s="2286"/>
      <c r="Y125" s="2286"/>
      <c r="Z125" s="2286"/>
      <c r="AA125" s="2286"/>
      <c r="AB125" s="2286"/>
      <c r="AC125" s="2286"/>
      <c r="AD125" s="2286"/>
      <c r="AE125" s="2286"/>
      <c r="AF125" s="2286"/>
      <c r="AG125" s="2286"/>
      <c r="AH125" s="2286"/>
      <c r="AI125" s="2286"/>
      <c r="AJ125" s="2286"/>
      <c r="AK125" s="2286"/>
      <c r="AL125" s="2286"/>
      <c r="AM125" s="2286"/>
      <c r="AN125" s="2286"/>
      <c r="AO125" s="2286"/>
      <c r="AP125" s="2286"/>
      <c r="AQ125" s="2286"/>
      <c r="AR125" s="2286"/>
      <c r="AS125" s="2286"/>
      <c r="AT125" s="2286"/>
      <c r="AU125" s="2286"/>
      <c r="BA125" s="1156">
        <v>19</v>
      </c>
    </row>
    <row customHeight="1" ht="16.8">
      <c r="O126" s="538"/>
      <c r="T126" s="2286"/>
      <c r="U126" s="2286"/>
      <c r="V126" s="2286"/>
      <c r="W126" s="2286"/>
      <c r="X126" s="2286"/>
      <c r="Y126" s="2286"/>
      <c r="Z126" s="2286"/>
      <c r="AA126" s="2286"/>
      <c r="AB126" s="2286"/>
      <c r="AC126" s="2286"/>
      <c r="AD126" s="2286"/>
      <c r="AE126" s="2286"/>
      <c r="AF126" s="2286"/>
      <c r="AG126" s="2286"/>
      <c r="AH126" s="2286"/>
      <c r="AI126" s="2286"/>
      <c r="AJ126" s="2286"/>
      <c r="AK126" s="2286"/>
      <c r="AL126" s="2286"/>
      <c r="AM126" s="2286"/>
      <c r="AN126" s="2286"/>
      <c r="AO126" s="2286"/>
      <c r="AP126" s="2286"/>
      <c r="AQ126" s="2286"/>
      <c r="AR126" s="2286"/>
      <c r="AS126" s="2286"/>
      <c r="AT126" s="2286"/>
      <c r="AU126" s="2286"/>
      <c r="BA126" s="1156">
        <v>16</v>
      </c>
    </row>
    <row customHeight="1" ht="14.699999999999998">
      <c r="O127" s="538"/>
      <c r="BA127" s="1156">
        <v>14</v>
      </c>
    </row>
    <row customHeight="1" ht="22.5" hidden="1">
      <c r="A128" s="1161" t="s">
        <v>85</v>
      </c>
      <c r="B128" s="1161">
        <v>0</v>
      </c>
      <c r="C128" s="1161">
        <v>0</v>
      </c>
      <c r="D128" s="1161">
        <v>0</v>
      </c>
      <c r="E128" s="1161">
        <v>0</v>
      </c>
      <c r="F128" s="1161">
        <v>0</v>
      </c>
      <c r="G128" s="1161">
        <v>0</v>
      </c>
      <c r="H128" s="1161">
        <v>0</v>
      </c>
      <c r="I128" s="1161">
        <v>0</v>
      </c>
      <c r="J128" s="1161">
        <v>0</v>
      </c>
      <c r="K128" s="1161">
        <v>0</v>
      </c>
      <c r="L128" s="1330">
        <v>0</v>
      </c>
      <c r="M128" s="1363">
        <v>0</v>
      </c>
      <c r="N128" s="1363">
        <v>0</v>
      </c>
      <c r="O128" s="1363">
        <v>0</v>
      </c>
      <c r="P128" s="1363">
        <v>3</v>
      </c>
      <c r="Q128" s="1372">
        <v>3</v>
      </c>
      <c r="R128" s="345">
        <v>3</v>
      </c>
      <c r="S128" s="582">
        <v>12</v>
      </c>
      <c r="T128" s="1156">
        <v>31</v>
      </c>
      <c r="U128" s="1156">
        <v>0</v>
      </c>
      <c r="V128" s="1156">
        <v>0</v>
      </c>
      <c r="W128" s="1156">
        <v>0</v>
      </c>
      <c r="X128" s="1156">
        <v>0</v>
      </c>
      <c r="Y128" s="1156">
        <v>0</v>
      </c>
      <c r="Z128" s="1156">
        <v>0</v>
      </c>
      <c r="AA128" s="1156">
        <v>0</v>
      </c>
      <c r="AB128" s="1156">
        <v>5</v>
      </c>
      <c r="AC128" s="1156">
        <v>3</v>
      </c>
      <c r="AD128" s="1156">
        <v>3</v>
      </c>
      <c r="AE128" s="1156">
        <v>24</v>
      </c>
      <c r="AF128" s="1156">
        <v>3</v>
      </c>
      <c r="AG128" s="1156">
        <v>3</v>
      </c>
      <c r="AH128" s="1156">
        <v>3</v>
      </c>
      <c r="AI128" s="1156">
        <v>24</v>
      </c>
      <c r="AJ128" s="1156">
        <v>3</v>
      </c>
      <c r="AK128" s="1156">
        <v>3</v>
      </c>
      <c r="AL128" s="1156">
        <v>3</v>
      </c>
      <c r="AM128" s="1156">
        <v>18</v>
      </c>
      <c r="AN128" s="1156">
        <v>21</v>
      </c>
      <c r="AO128" s="1156">
        <v>21</v>
      </c>
      <c r="AP128" s="1156">
        <v>11</v>
      </c>
      <c r="AQ128" s="1156">
        <v>3</v>
      </c>
      <c r="AR128" s="1156">
        <v>11</v>
      </c>
      <c r="AS128" s="1156">
        <v>8</v>
      </c>
      <c r="AT128" s="1156">
        <v>4</v>
      </c>
      <c r="AU128" s="1156">
        <v>115</v>
      </c>
      <c r="AV128" s="512">
        <v>10</v>
      </c>
      <c r="AW128" s="512">
        <v>10</v>
      </c>
      <c r="AX128" s="512">
        <v>10</v>
      </c>
      <c r="AY128" s="512">
        <v>10</v>
      </c>
      <c r="AZ128" s="512">
        <v>10</v>
      </c>
      <c r="BA128" s="1156">
        <v>23</v>
      </c>
    </row>
  </sheetData>
  <sheetProtection formatColumns="0" formatRows="0" autoFilter="0" sort="0" insertRows="0" insertColumns="1" deleteRows="0" deleteColumns="0"/>
  <mergeCells count="262">
    <mergeCell ref="T125:AU125"/>
    <mergeCell ref="T126:AU126"/>
    <mergeCell ref="AI51:AI52"/>
    <mergeCell ref="AJ51:AJ52"/>
    <mergeCell ref="AJ40:AM43"/>
    <mergeCell ref="AD51:AD53"/>
    <mergeCell ref="AE51:AE53"/>
    <mergeCell ref="AF51:AF53"/>
    <mergeCell ref="AG51:AG52"/>
    <mergeCell ref="AH51:AH52"/>
    <mergeCell ref="T122:AU122"/>
    <mergeCell ref="T123:AU123"/>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89"/>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 ref="F61:F74"/>
    <mergeCell ref="G62:G73"/>
    <mergeCell ref="H63:H72"/>
    <mergeCell ref="V63:AA63"/>
    <mergeCell ref="X66:X69"/>
    <mergeCell ref="Y66:Y69"/>
    <mergeCell ref="Z66:Z69"/>
    <mergeCell ref="AA66:AA69"/>
    <mergeCell ref="I64:I71"/>
    <mergeCell ref="P64:P71"/>
    <mergeCell ref="V64:AA64"/>
    <mergeCell ref="J65:J70"/>
    <mergeCell ref="Q65:Q70"/>
    <mergeCell ref="V65:AA65"/>
    <mergeCell ref="K66:K69"/>
    <mergeCell ref="S66:S69"/>
    <mergeCell ref="T66:T69"/>
    <mergeCell ref="R66:R69"/>
    <mergeCell ref="V61:AA61"/>
    <mergeCell ref="AB61:AT61"/>
    <mergeCell ref="V62:AA62"/>
    <mergeCell ref="AB62:AT62"/>
    <mergeCell ref="AB63:AT63"/>
    <mergeCell ref="AB64:AT64"/>
    <mergeCell ref="AB65:AT65"/>
    <mergeCell ref="AE66:AE68"/>
    <mergeCell ref="AF66:AF68"/>
    <mergeCell ref="AG66:AG67"/>
    <mergeCell ref="AH66:AH67"/>
    <mergeCell ref="AU66:AU70"/>
    <mergeCell ref="AJ66:AJ67"/>
    <mergeCell ref="AB66:AB69"/>
    <mergeCell ref="AC66:AC68"/>
    <mergeCell ref="AD66:AD68"/>
    <mergeCell ref="AI66:AI67"/>
    <mergeCell ref="E90:E119"/>
    <mergeCell ref="F91:F104"/>
    <mergeCell ref="G92:G103"/>
    <mergeCell ref="H93:H102"/>
    <mergeCell ref="V93:AA93"/>
    <mergeCell ref="X96:X99"/>
    <mergeCell ref="Y96:Y99"/>
    <mergeCell ref="Z96:Z99"/>
    <mergeCell ref="AA96:AA99"/>
    <mergeCell ref="V90:AA90"/>
    <mergeCell ref="I94:I101"/>
    <mergeCell ref="P94:P101"/>
    <mergeCell ref="V94:AA94"/>
    <mergeCell ref="J95:J100"/>
    <mergeCell ref="Q95:Q100"/>
    <mergeCell ref="V95:AA95"/>
    <mergeCell ref="K96:K99"/>
    <mergeCell ref="S96:S99"/>
    <mergeCell ref="T96:T99"/>
    <mergeCell ref="R96:R99"/>
    <mergeCell ref="AB90:AT90"/>
    <mergeCell ref="V91:AA91"/>
    <mergeCell ref="AB91:AT91"/>
    <mergeCell ref="V92:AA92"/>
    <mergeCell ref="AB92:AT92"/>
    <mergeCell ref="AB93:AT93"/>
    <mergeCell ref="AB94:AT94"/>
    <mergeCell ref="AB95:AT95"/>
    <mergeCell ref="AE96:AE98"/>
    <mergeCell ref="AF96:AF98"/>
    <mergeCell ref="AG96:AG97"/>
    <mergeCell ref="AH96:AH97"/>
    <mergeCell ref="AU96:AU100"/>
    <mergeCell ref="AJ96:AJ97"/>
    <mergeCell ref="AB96:AB99"/>
    <mergeCell ref="AC96:AC98"/>
    <mergeCell ref="AD96:AD98"/>
    <mergeCell ref="AI96:AI97"/>
    <mergeCell ref="F75:F88"/>
    <mergeCell ref="G76:G87"/>
    <mergeCell ref="H77:H86"/>
    <mergeCell ref="V77:AA77"/>
    <mergeCell ref="X80:X83"/>
    <mergeCell ref="Y80:Y83"/>
    <mergeCell ref="Z80:Z83"/>
    <mergeCell ref="AA80:AA83"/>
    <mergeCell ref="I78:I85"/>
    <mergeCell ref="P78:P85"/>
    <mergeCell ref="V78:AA78"/>
    <mergeCell ref="J79:J84"/>
    <mergeCell ref="Q79:Q84"/>
    <mergeCell ref="V79:AA79"/>
    <mergeCell ref="K80:K83"/>
    <mergeCell ref="S80:S83"/>
    <mergeCell ref="T80:T83"/>
    <mergeCell ref="R80:R83"/>
    <mergeCell ref="V75:AA75"/>
    <mergeCell ref="AB75:AT75"/>
    <mergeCell ref="V76:AA76"/>
    <mergeCell ref="AB76:AT76"/>
    <mergeCell ref="AB77:AT77"/>
    <mergeCell ref="AB78:AT78"/>
    <mergeCell ref="AB79:AT79"/>
    <mergeCell ref="AE80:AE82"/>
    <mergeCell ref="AF80:AF82"/>
    <mergeCell ref="AG80:AG81"/>
    <mergeCell ref="AH80:AH81"/>
    <mergeCell ref="AU80:AU84"/>
    <mergeCell ref="AJ80:AJ81"/>
    <mergeCell ref="AB80:AB83"/>
    <mergeCell ref="AC80:AC82"/>
    <mergeCell ref="AD80:AD82"/>
    <mergeCell ref="AI80:AI81"/>
    <mergeCell ref="F105:F118"/>
    <mergeCell ref="G106:G117"/>
    <mergeCell ref="H107:H116"/>
    <mergeCell ref="V107:AA107"/>
    <mergeCell ref="X110:X113"/>
    <mergeCell ref="Y110:Y113"/>
    <mergeCell ref="Z110:Z113"/>
    <mergeCell ref="AA110:AA113"/>
    <mergeCell ref="I108:I115"/>
    <mergeCell ref="P108:P115"/>
    <mergeCell ref="V108:AA108"/>
    <mergeCell ref="J109:J114"/>
    <mergeCell ref="Q109:Q114"/>
    <mergeCell ref="V109:AA109"/>
    <mergeCell ref="K110:K113"/>
    <mergeCell ref="S110:S113"/>
    <mergeCell ref="T110:T113"/>
    <mergeCell ref="R110:R113"/>
    <mergeCell ref="V105:AA105"/>
    <mergeCell ref="AB105:AT105"/>
    <mergeCell ref="V106:AA106"/>
    <mergeCell ref="AB106:AT106"/>
    <mergeCell ref="AB107:AT107"/>
    <mergeCell ref="AB108:AT108"/>
    <mergeCell ref="AB109:AT109"/>
    <mergeCell ref="AE110:AE112"/>
    <mergeCell ref="AF110:AF112"/>
    <mergeCell ref="AG110:AG111"/>
    <mergeCell ref="AH110:AH111"/>
    <mergeCell ref="AU110:AU114"/>
    <mergeCell ref="AJ110:AJ111"/>
    <mergeCell ref="AB110:AB113"/>
    <mergeCell ref="AC110:AC112"/>
    <mergeCell ref="AD110:AD112"/>
    <mergeCell ref="AI110:AI111"/>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615:AT917615 V983151:AT983151 V65647:AT65647 V131183:AT131183 V196719:AT196719 V262255:AT262255 V327791:AT327791 V393327:AT393327 V458863:AT458863 V524399:AT524399 V589935:AT589935 V655471:AT655471 V721007:AT721007 V786543:AT786543 V852079:AT852079">
      <formula1>kind_of_cons</formula1>
    </dataValidation>
    <dataValidation allowBlank="1" sqref="S131186:AU131192 S196722:AU196728 S262258:AU262264 S327794:AU327800 S393330:AU393336 S458866:AU458872 S524402:AU524408 S589938:AU589944 S655474:AU655480 S721010:AU721016 S786546:AU786552 S852082:AU852088 S917618:AU917624 S983154:AU983160 S65650:AU65656"/>
    <dataValidation type="list" allowBlank="1" showInputMessage="1" showErrorMessage="1" errorTitle="Ошибка" error="Выберите значение из списка" sqref="T65648 T131184 T196720 T262256 T327792 T393328 T458864 T524400 T589936 T655472 T721008 T786544 T852080 T917616 T983152">
      <formula1>kind_of_heat_transfer</formula1>
    </dataValidation>
    <dataValidation type="list" allowBlank="1" showInputMessage="1" showErrorMessage="1" errorTitle="Ошибка" error="Выберите значение из списка" sqref="AB983150:AM983150 AB65646:AM65646 AB131182:AM131182 AB196718:AM196718 AB262254:AM262254 AB327790:AM327790 AB393326:AM393326 AB458862:AM458862 AB524398:AM524398 AB589934:AM589934 AB655470:AM655470 AB721006:AM721006 AB786542:AM786542 AB852078:AM852078 AB917614:AM917614">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648 X131184 X196720 X262256 X327792 X393328 X458864 X524400 X589936 X655472 X721008 X786544 X852080 X917616 X983152 Z65648 Z131184 Z196720 Z262256 Z327792 Z393328 Z458864 Z524400 Z589936 Z655472 Z721008 Z786544 Z852080 Z917616 Z983152 X8:X10 Z8:Z10 AP65648 AP131184 AP196720 AP262256 AP327792 AP393328 AP458864 AP524400 AP589936 AP655472 AP721008 AP786544 AP852080 AP917616 AP983152 AR65648 AR131184 AR196720 AR262256 AR327792 AR393328 AR458864 AR524400 AR589936 AR655472 AR721008 AR786544 AR852080 AR917616 AR983152 AR8 AR51 AR19 AP19 AP8 AP51 Z51 X51 X66 Z66 AP66 AR66 X67 Z67 X68 Z68 X96 Z96 AP96 AR96 X97 Z97 X98 Z98 X80 Z80 AP80 AR80 X81 Z81 X82 Z82 X110 Z110 AP110 AR110 X111 Z111 X112 Z112"/>
    <dataValidation allowBlank="1" promptTitle="checkPeriodRange" sqref="W65649 W131185 W196721 W262257 W327793 W393329 W458865 W524401 W589937 W655473 W721009 W786545 W852081 W917617 W983153 AO54 W11 AO65649 AO131185 AO196721 AO262257 AO327793 AO393329 AO458865 AO524401 AO589937 AO655473 AO721009 AO786545 AO852081 AO917617 AO983153 AO11 W54 W69 AO69 W99 AO99 W83 AO83 W113 AO113"/>
    <dataValidation type="textLength" operator="lessThanOrEqual" allowBlank="1" showInputMessage="1" showErrorMessage="1" errorTitle="Ошибка" error="Допускается ввод не более 900 символов!" sqref="AU65642:AU65649 AU131178:AU131185 AU196714:AU196721 AU262250:AU262257 AU327786:AU327793 AU393322:AU393329 AU458858:AU458865 AU524394:AU524401 AU589930:AU589937 AU655466:AU655473 AU721002:AU721009 AU786538:AU786545 AU852074:AU852081 AU917610:AU917617 AU983146:AU983153 T8:T11 T51:T54 T66 T67 T68 T69 T96 T97 T98 T99 T80 T81 T82 T83 T110 T111 T112 T113">
      <formula1>900</formula1>
    </dataValidation>
    <dataValidation allowBlank="1" showInputMessage="1" showErrorMessage="1" prompt="Для выбора выполните двойной щелчок левой клавиши мыши по соответствующей ячейке." sqref="Y65648 Y131184 Y196720 Y262256 Y327792 Y393328 Y458864 Y524400 Y589936 Y655472 Y721008 Y786544 Y852080 Y917616 Y983152 AA131184 AA458864 AA196720 AA262256 AA327792 AA393328 AA524400 AA589936 AA655472 AA721008 AA786544 AA852080 AA917616 AA983152 AA65648 AA8:AA10 Y8:Y10 AQ65648 AQ131184 AQ196720 AQ262256 AQ327792 AQ393328 AQ458864 AQ524400 AQ589936 AQ655472 AQ721008 AQ786544 AQ852080 AQ917616 AQ983152 AS131184 AS458864 AS196720 AS262256 AS327792 AS393328 AS524400 AS589936 AS655472 AS721008 AS786544 AS852080 AS917616 AS983152 AS65648 AQ8 AB8 AE8:AF8 AI8:AJ8 AQ19 AS51 AS19 AB19 AE19:AF19 AI19:AJ19 AI51:AJ51 AE51:AF51 AA51:AB51 AS8 AQ51 Y51 Y66 AA66 AB66 AE66 AF66 AI66 AJ66 AQ66 AS66 Y67 AA67 Y68 AA68 Y96 AA96 AB96 AE96 AF96 AI96 AJ96 AQ96 AS96 Y97 AA97 Y98 AA98 Y80 AA80 AB80 AE80 AF80 AI80 AJ80 AQ80 AS80 Y81 AA81 Y82 AA82 Y110 AA110 AB110 AE110 AF110 AI110 AJ110 AQ110 AS110 Y111 AA111 Y112 AA11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73D0F8-E134-D981-DD38-1ED2433496E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137</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430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431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514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515</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516</v>
      </c>
      <c r="U5" s="301"/>
      <c r="V5" s="2351"/>
      <c r="W5" s="2352"/>
      <c r="X5" s="2352"/>
      <c r="Y5" s="2352"/>
      <c r="Z5" s="2352"/>
      <c r="AA5" s="2352"/>
      <c r="AB5" s="2353"/>
      <c r="AC5" s="2354"/>
      <c r="AD5" s="2355"/>
      <c r="AE5" s="2355"/>
      <c r="AF5" s="2355"/>
      <c r="AG5" s="2355"/>
      <c r="AH5" s="2355"/>
      <c r="AI5" s="2355"/>
      <c r="AJ5" s="2356"/>
      <c r="AK5" s="1259" t="s">
        <v>517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439</v>
      </c>
      <c r="P6" s="2258"/>
      <c r="Q6" s="2258">
        <v>1</v>
      </c>
      <c r="R6" s="358"/>
      <c r="S6" s="1426">
        <f>$J6</f>
      </c>
      <c r="T6" s="287" t="s">
        <v>440</v>
      </c>
      <c r="U6" s="301"/>
      <c r="V6" s="2246"/>
      <c r="W6" s="2247"/>
      <c r="X6" s="2247"/>
      <c r="Y6" s="2247"/>
      <c r="Z6" s="2247"/>
      <c r="AA6" s="2247"/>
      <c r="AB6" s="2248"/>
      <c r="AC6" s="2246"/>
      <c r="AD6" s="2247"/>
      <c r="AE6" s="2247"/>
      <c r="AF6" s="2247"/>
      <c r="AG6" s="2247"/>
      <c r="AH6" s="2247"/>
      <c r="AI6" s="2247"/>
      <c r="AJ6" s="2248"/>
      <c r="AK6" s="1308" t="s">
        <v>518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64</v>
      </c>
      <c r="AA7" s="2266"/>
      <c r="AB7" s="2108" t="s">
        <v>64</v>
      </c>
      <c r="AC7" s="752"/>
      <c r="AD7" s="752"/>
      <c r="AE7" s="1258"/>
      <c r="AF7" s="2266"/>
      <c r="AG7" s="2108" t="s">
        <v>64</v>
      </c>
      <c r="AH7" s="2288"/>
      <c r="AI7" s="2108" t="s">
        <v>64</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519</v>
      </c>
      <c r="U9" s="368"/>
      <c r="V9" s="368"/>
      <c r="W9" s="368"/>
      <c r="X9" s="368"/>
      <c r="Y9" s="368"/>
      <c r="Z9" s="368"/>
      <c r="AA9" s="368"/>
      <c r="AB9" s="368"/>
      <c r="AC9" s="368"/>
      <c r="AD9" s="368"/>
      <c r="AE9" s="368"/>
      <c r="AF9" s="368"/>
      <c r="AG9" s="368"/>
      <c r="AH9" s="368"/>
      <c r="AI9" s="368"/>
      <c r="AJ9" s="368"/>
      <c r="AK9" s="1259" t="s">
        <v>520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445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521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219</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227</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64</v>
      </c>
      <c r="AH15" s="2268"/>
      <c r="AI15" s="2269" t="s">
        <v>64</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447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448</v>
      </c>
      <c r="P20" s="1363"/>
      <c r="Q20" s="1443"/>
      <c r="R20" s="1443"/>
      <c r="S20" s="730"/>
      <c r="T20" s="1161" t="s">
        <v>449</v>
      </c>
      <c r="Z20" s="187" t="s">
        <v>450</v>
      </c>
      <c r="AB20" s="187" t="s">
        <v>451</v>
      </c>
      <c r="AC20" s="1161" t="s">
        <v>449</v>
      </c>
      <c r="AG20" s="187" t="s">
        <v>452</v>
      </c>
      <c r="AI20" s="187" t="s">
        <v>451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КГУП "Примтеплоэнерго"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Агентство по тарифам Приморского края</v>
      </c>
      <c r="W27" s="2252"/>
      <c r="X27" s="2252"/>
      <c r="Y27" s="2252"/>
      <c r="Z27" s="2252"/>
      <c r="AA27" s="2252"/>
      <c r="AB27" s="327"/>
      <c r="AC27" s="2252" t="str">
        <f>IF(TITLE_NAME_OR_PR_CHANGE="",IF(TITLE_NAME_OR_PR="","",TITLE_NAME_OR_PR),TITLE_NAME_OR_PR_CHANGE)</f>
        <v>Агентство по тарифам Приморского края</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453</v>
      </c>
      <c r="T28" s="2251"/>
      <c r="U28" s="1373"/>
      <c r="V28" s="2265" t="str">
        <f>IF(TITLE_DATE_PR_CHANGE="",IF(TITLE_DATE_PR="","",TITLE_DATE_PR),TITLE_DATE_PR_CHANGE)</f>
        <v>45777.43633101852</v>
      </c>
      <c r="W28" s="2265"/>
      <c r="X28" s="2265"/>
      <c r="Y28" s="2265"/>
      <c r="Z28" s="2265"/>
      <c r="AA28" s="2265"/>
      <c r="AB28" s="327"/>
      <c r="AC28" s="2265" t="str">
        <f>IF(TITLE_DATE_PR_CHANGE="",IF(TITLE_DATE_PR="","",TITLE_DATE_PR),TITLE_DATE_PR_CHANGE)</f>
        <v>45777.43633101852</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454</v>
      </c>
      <c r="T29" s="2251"/>
      <c r="U29" s="1373"/>
      <c r="V29" s="2252" t="str">
        <f>IF(TITLE_NUMBER_PR_CHANGE="",IF(TITLE_NUMBER_PR="","",TITLE_NUMBER_PR),TITLE_NUMBER_PR_CHANGE)</f>
        <v>17-1</v>
      </c>
      <c r="W29" s="2252"/>
      <c r="X29" s="2252"/>
      <c r="Y29" s="2252"/>
      <c r="Z29" s="2252"/>
      <c r="AA29" s="2252"/>
      <c r="AB29" s="327"/>
      <c r="AC29" s="2252" t="str">
        <f>IF(TITLE_NUMBER_PR_CHANGE="",IF(TITLE_NUMBER_PR="","",TITLE_NUMBER_PR),TITLE_NUMBER_PR_CHANGE)</f>
        <v>17-1</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http://pravo.gov.ru</v>
      </c>
      <c r="W30" s="2252"/>
      <c r="X30" s="2252"/>
      <c r="Y30" s="2252"/>
      <c r="Z30" s="2252"/>
      <c r="AA30" s="2252"/>
      <c r="AB30" s="327"/>
      <c r="AC30" s="2252" t="str">
        <f>IF(TITLE_IST_PUB_CHANGE="",IF(TITLE_IST_PUB="","",TITLE_IST_PUB),TITLE_IST_PUB_CHANGE)</f>
        <v>http://pravo.gov.ru</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455</v>
      </c>
      <c r="T32" s="2251"/>
      <c r="U32" s="1373"/>
      <c r="V32" s="2265" t="str">
        <f>IF(TITLE_DATE_PR_CHANGE="",IF(TITLE_DATE_PR="","",TITLE_DATE_PR),TITLE_DATE_PR_CHANGE)</f>
        <v>45777.43633101852</v>
      </c>
      <c r="W32" s="2265"/>
      <c r="X32" s="2265"/>
      <c r="Y32" s="2265"/>
      <c r="Z32" s="2265"/>
      <c r="AA32" s="2265"/>
      <c r="AB32" s="327"/>
      <c r="AC32" s="2265" t="str">
        <f>IF(TITLE_DATE_PR_CHANGE="",IF(TITLE_DATE_PR="","",TITLE_DATE_PR),TITLE_DATE_PR_CHANGE)</f>
        <v>45777.43633101852</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456</v>
      </c>
      <c r="T33" s="2251"/>
      <c r="U33" s="1373"/>
      <c r="V33" s="2252" t="str">
        <f>IF(TITLE_NUMBER_PR_CHANGE="",IF(TITLE_NUMBER_PR="","",TITLE_NUMBER_PR),TITLE_NUMBER_PR_CHANGE)</f>
        <v>17-1</v>
      </c>
      <c r="W33" s="2252"/>
      <c r="X33" s="2252"/>
      <c r="Y33" s="2252"/>
      <c r="Z33" s="2252"/>
      <c r="AA33" s="2252"/>
      <c r="AB33" s="327"/>
      <c r="AC33" s="2252" t="str">
        <f>IF(TITLE_NUMBER_PR_CHANGE="",IF(TITLE_NUMBER_PR="","",TITLE_NUMBER_PR),TITLE_NUMBER_PR_CHANGE)</f>
        <v>17-1</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457</v>
      </c>
      <c r="AC34" s="327"/>
      <c r="AD34" s="327"/>
      <c r="AE34" s="327"/>
      <c r="AF34" s="327"/>
      <c r="AG34" s="327"/>
      <c r="AH34" s="327"/>
      <c r="AI34" s="279" t="s">
        <v>457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333</v>
      </c>
      <c r="T36" s="2128"/>
      <c r="U36" s="2128"/>
      <c r="V36" s="2128"/>
      <c r="W36" s="2128"/>
      <c r="X36" s="2128"/>
      <c r="Y36" s="2128"/>
      <c r="Z36" s="2128"/>
      <c r="AA36" s="2128"/>
      <c r="AB36" s="2128"/>
      <c r="AC36" s="2128"/>
      <c r="AD36" s="2128"/>
      <c r="AE36" s="2128"/>
      <c r="AF36" s="2128"/>
      <c r="AG36" s="2128"/>
      <c r="AH36" s="2128"/>
      <c r="AI36" s="2128"/>
      <c r="AJ36" s="2128"/>
      <c r="AK36" s="2128" t="s">
        <v>334</v>
      </c>
      <c r="AQ36" s="1156">
        <v>14</v>
      </c>
    </row>
    <row customHeight="1" ht="14.699999999999998">
      <c r="Q37" s="377"/>
      <c r="R37" s="377"/>
      <c r="S37" s="2274" t="s">
        <v>91</v>
      </c>
      <c r="T37" s="2210" t="s">
        <v>458</v>
      </c>
      <c r="U37" s="302"/>
      <c r="V37" s="2275" t="s">
        <v>459</v>
      </c>
      <c r="W37" s="2276"/>
      <c r="X37" s="2276"/>
      <c r="Y37" s="2276"/>
      <c r="Z37" s="2276"/>
      <c r="AA37" s="2277"/>
      <c r="AB37" s="2278" t="s">
        <v>460</v>
      </c>
      <c r="AC37" s="2275" t="s">
        <v>459</v>
      </c>
      <c r="AD37" s="2276"/>
      <c r="AE37" s="2276"/>
      <c r="AF37" s="2276"/>
      <c r="AG37" s="2276"/>
      <c r="AH37" s="2277"/>
      <c r="AI37" s="2278" t="s">
        <v>461</v>
      </c>
      <c r="AJ37" s="2281" t="s">
        <v>462</v>
      </c>
      <c r="AK37" s="2128"/>
      <c r="AQ37" s="1156">
        <v>14</v>
      </c>
    </row>
    <row customHeight="1" ht="35.699999999999996">
      <c r="Q38" s="377"/>
      <c r="R38" s="377"/>
      <c r="S38" s="2274"/>
      <c r="T38" s="2210"/>
      <c r="U38" s="1032"/>
      <c r="V38" s="1353" t="s">
        <v>522</v>
      </c>
      <c r="W38" s="2263" t="s">
        <v>465</v>
      </c>
      <c r="X38" s="2264"/>
      <c r="Y38" s="2263" t="s">
        <v>466</v>
      </c>
      <c r="Z38" s="2270"/>
      <c r="AA38" s="2264"/>
      <c r="AB38" s="2279"/>
      <c r="AC38" s="1353" t="s">
        <v>522</v>
      </c>
      <c r="AD38" s="2263" t="s">
        <v>465</v>
      </c>
      <c r="AE38" s="2264"/>
      <c r="AF38" s="2263" t="s">
        <v>466</v>
      </c>
      <c r="AG38" s="2270"/>
      <c r="AH38" s="2264"/>
      <c r="AI38" s="2279"/>
      <c r="AJ38" s="2282"/>
      <c r="AK38" s="2128"/>
      <c r="AQ38" s="1156">
        <v>34</v>
      </c>
    </row>
    <row customHeight="1" ht="35.699999999999996">
      <c r="A39" s="1371"/>
      <c r="B39" s="1371" t="s">
        <v>149</v>
      </c>
      <c r="C39" s="1371" t="s">
        <v>150</v>
      </c>
      <c r="D39" s="1371" t="s">
        <v>151</v>
      </c>
      <c r="E39" s="1365" t="s">
        <v>467</v>
      </c>
      <c r="F39" s="1365" t="s">
        <v>468</v>
      </c>
      <c r="G39" s="1365" t="s">
        <v>469</v>
      </c>
      <c r="H39" s="1365"/>
      <c r="I39" s="1365" t="s">
        <v>523</v>
      </c>
      <c r="J39" s="1365" t="s">
        <v>472</v>
      </c>
      <c r="K39" s="1365" t="s">
        <v>524</v>
      </c>
      <c r="L39" s="1365" t="s">
        <v>448</v>
      </c>
      <c r="Q39" s="377"/>
      <c r="R39" s="377"/>
      <c r="S39" s="2274"/>
      <c r="T39" s="2210"/>
      <c r="U39" s="303"/>
      <c r="V39" s="1353" t="s">
        <v>525</v>
      </c>
      <c r="W39" s="1223" t="s">
        <v>526</v>
      </c>
      <c r="X39" s="1223" t="s">
        <v>527</v>
      </c>
      <c r="Y39" s="1358" t="s">
        <v>476</v>
      </c>
      <c r="Z39" s="2271" t="s">
        <v>477</v>
      </c>
      <c r="AA39" s="2272"/>
      <c r="AB39" s="2280"/>
      <c r="AC39" s="1353" t="s">
        <v>525</v>
      </c>
      <c r="AD39" s="1223" t="s">
        <v>526</v>
      </c>
      <c r="AE39" s="1223" t="s">
        <v>527</v>
      </c>
      <c r="AF39" s="1358" t="s">
        <v>476</v>
      </c>
      <c r="AG39" s="2271" t="s">
        <v>477</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124</v>
      </c>
      <c r="T40" s="1256" t="s">
        <v>107</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259</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137</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259</v>
      </c>
      <c r="B42" s="1364" t="s">
        <v>260</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430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431</v>
      </c>
      <c r="AM42" s="501"/>
      <c r="AN42" s="501" t="str">
        <f>IF(T42="","",T42)</f>
        <v>Территория действия тарифа</v>
      </c>
      <c r="AO42" s="501"/>
      <c r="AP42" s="501"/>
      <c r="AQ42" s="1156">
        <v>23</v>
      </c>
    </row>
    <row customHeight="1" ht="24">
      <c r="A43" s="1364" t="s">
        <v>259</v>
      </c>
      <c r="B43" s="1364" t="s">
        <v>260</v>
      </c>
      <c r="C43" s="1364" t="s">
        <v>261</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514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515</v>
      </c>
      <c r="AM43" s="501"/>
      <c r="AN43" s="501" t="str">
        <f>IF(T43="","",T43)</f>
        <v>Наименование централизованной системы холодного водоснабжения</v>
      </c>
      <c r="AO43" s="501"/>
      <c r="AP43" s="501"/>
      <c r="AQ43" s="1156">
        <v>23</v>
      </c>
    </row>
    <row customHeight="1" ht="24">
      <c r="A44" s="1364" t="s">
        <v>259</v>
      </c>
      <c r="B44" s="1364" t="s">
        <v>260</v>
      </c>
      <c r="C44" s="1364" t="s">
        <v>261</v>
      </c>
      <c r="D44" s="1364" t="s">
        <v>528</v>
      </c>
      <c r="E44" s="2260"/>
      <c r="F44" s="2260"/>
      <c r="G44" s="2260"/>
      <c r="H44" s="2260"/>
      <c r="I44" s="2257" t="str">
        <f>S43&amp;".1"</f>
        <v>...1</v>
      </c>
      <c r="J44" s="1364"/>
      <c r="K44" s="1364"/>
      <c r="L44" s="1365"/>
      <c r="P44" s="2258">
        <v>1</v>
      </c>
      <c r="Q44" s="1355"/>
      <c r="R44" s="357"/>
      <c r="S44" s="1359" t="str">
        <f>$I44</f>
        <v>...1</v>
      </c>
      <c r="T44" s="286" t="s">
        <v>516</v>
      </c>
      <c r="U44" s="301"/>
      <c r="V44" s="2351"/>
      <c r="W44" s="2352"/>
      <c r="X44" s="2352"/>
      <c r="Y44" s="2352"/>
      <c r="Z44" s="2352"/>
      <c r="AA44" s="2352"/>
      <c r="AB44" s="2353"/>
      <c r="AC44" s="2354"/>
      <c r="AD44" s="2355"/>
      <c r="AE44" s="2355"/>
      <c r="AF44" s="2355"/>
      <c r="AG44" s="2355"/>
      <c r="AH44" s="2355"/>
      <c r="AI44" s="2355"/>
      <c r="AJ44" s="2356"/>
      <c r="AK44" s="1259" t="s">
        <v>517</v>
      </c>
      <c r="AM44" s="501"/>
      <c r="AN44" s="501" t="str">
        <f>IF(T44="","",T44)</f>
        <v>Наименование признака дифференциации</v>
      </c>
      <c r="AO44" s="501"/>
      <c r="AP44" s="501"/>
      <c r="AQ44" s="1156">
        <v>23</v>
      </c>
    </row>
    <row customHeight="1" ht="24">
      <c r="A45" s="1364" t="s">
        <v>259</v>
      </c>
      <c r="B45" s="1364" t="s">
        <v>260</v>
      </c>
      <c r="C45" s="1364" t="s">
        <v>261</v>
      </c>
      <c r="D45" s="1364" t="s">
        <v>528</v>
      </c>
      <c r="E45" s="2260"/>
      <c r="F45" s="2260"/>
      <c r="G45" s="2260"/>
      <c r="H45" s="2260"/>
      <c r="I45" s="2287"/>
      <c r="J45" s="2257" t="str">
        <f>I44&amp;".1"</f>
        <v>...1.1</v>
      </c>
      <c r="K45" s="1364"/>
      <c r="L45" s="1365" t="s">
        <v>439</v>
      </c>
      <c r="P45" s="2258"/>
      <c r="Q45" s="2258">
        <v>1</v>
      </c>
      <c r="R45" s="358"/>
      <c r="S45" s="1359" t="str">
        <f>$J45</f>
        <v>...1.1</v>
      </c>
      <c r="T45" s="287" t="s">
        <v>440</v>
      </c>
      <c r="U45" s="301"/>
      <c r="V45" s="2246"/>
      <c r="W45" s="2247"/>
      <c r="X45" s="2247"/>
      <c r="Y45" s="2247"/>
      <c r="Z45" s="2247"/>
      <c r="AA45" s="2247"/>
      <c r="AB45" s="2248"/>
      <c r="AC45" s="2246"/>
      <c r="AD45" s="2247"/>
      <c r="AE45" s="2247"/>
      <c r="AF45" s="2247"/>
      <c r="AG45" s="2247"/>
      <c r="AH45" s="2247"/>
      <c r="AI45" s="2247"/>
      <c r="AJ45" s="2248"/>
      <c r="AK45" s="1308" t="s">
        <v>518</v>
      </c>
      <c r="AM45" s="501"/>
      <c r="AN45" s="501" t="str">
        <f>IF(T45="","",T45)</f>
        <v>Группа потребителей</v>
      </c>
      <c r="AO45" s="501"/>
      <c r="AP45" s="501"/>
      <c r="AQ45" s="1156">
        <v>23</v>
      </c>
    </row>
    <row customHeight="1" ht="24">
      <c r="A46" s="1364" t="s">
        <v>259</v>
      </c>
      <c r="B46" s="1364" t="s">
        <v>260</v>
      </c>
      <c r="C46" s="1364" t="s">
        <v>261</v>
      </c>
      <c r="D46" s="1364" t="s">
        <v>528</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64</v>
      </c>
      <c r="AA46" s="2268"/>
      <c r="AB46" s="2269" t="s">
        <v>64</v>
      </c>
      <c r="AC46" s="752"/>
      <c r="AD46" s="752"/>
      <c r="AE46" s="1258"/>
      <c r="AF46" s="2266"/>
      <c r="AG46" s="2108" t="s">
        <v>64</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259</v>
      </c>
      <c r="B47" s="1364" t="s">
        <v>260</v>
      </c>
      <c r="C47" s="1364" t="s">
        <v>261</v>
      </c>
      <c r="D47" s="1364" t="s">
        <v>528</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259</v>
      </c>
      <c r="B48" s="1364" t="s">
        <v>260</v>
      </c>
      <c r="C48" s="1364" t="s">
        <v>261</v>
      </c>
      <c r="D48" s="1364" t="s">
        <v>528</v>
      </c>
      <c r="E48" s="2260"/>
      <c r="F48" s="2260"/>
      <c r="G48" s="2260"/>
      <c r="H48" s="2260"/>
      <c r="I48" s="2287"/>
      <c r="J48" s="2257"/>
      <c r="K48" s="1364"/>
      <c r="L48" s="1365"/>
      <c r="P48" s="2258"/>
      <c r="Q48" s="2258"/>
      <c r="R48" s="357"/>
      <c r="S48" s="1279"/>
      <c r="T48" s="288" t="s">
        <v>519</v>
      </c>
      <c r="U48" s="368"/>
      <c r="V48" s="368"/>
      <c r="W48" s="368"/>
      <c r="X48" s="368"/>
      <c r="Y48" s="368"/>
      <c r="Z48" s="368"/>
      <c r="AA48" s="368"/>
      <c r="AB48" s="368"/>
      <c r="AC48" s="368"/>
      <c r="AD48" s="368"/>
      <c r="AE48" s="368"/>
      <c r="AF48" s="368"/>
      <c r="AG48" s="368"/>
      <c r="AH48" s="368"/>
      <c r="AI48" s="368"/>
      <c r="AJ48" s="368"/>
      <c r="AK48" s="1259" t="s">
        <v>520</v>
      </c>
      <c r="AM48" s="501"/>
      <c r="AN48" s="501" t="str">
        <f>IF(T48="","",T48)</f>
        <v>Добавить значение признака дифференциации</v>
      </c>
      <c r="AO48" s="501"/>
      <c r="AP48" s="501"/>
      <c r="AQ48" s="1156">
        <v>20</v>
      </c>
    </row>
    <row customHeight="1" ht="22.049999999999997">
      <c r="A49" s="1364" t="s">
        <v>259</v>
      </c>
      <c r="B49" s="1364" t="s">
        <v>260</v>
      </c>
      <c r="C49" s="1364" t="s">
        <v>261</v>
      </c>
      <c r="D49" s="1364" t="s">
        <v>528</v>
      </c>
      <c r="E49" s="2260"/>
      <c r="F49" s="2260"/>
      <c r="G49" s="2260"/>
      <c r="H49" s="2260"/>
      <c r="I49" s="2257"/>
      <c r="J49" s="1364"/>
      <c r="K49" s="1364"/>
      <c r="L49" s="1365"/>
      <c r="P49" s="2258"/>
      <c r="Q49" s="1355"/>
      <c r="R49" s="357"/>
      <c r="S49" s="1279"/>
      <c r="T49" s="366" t="s">
        <v>445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259</v>
      </c>
      <c r="B50" s="1364" t="s">
        <v>260</v>
      </c>
      <c r="C50" s="1364" t="s">
        <v>261</v>
      </c>
      <c r="D50" s="1364" t="s">
        <v>528</v>
      </c>
      <c r="E50" s="2260"/>
      <c r="F50" s="2260"/>
      <c r="G50" s="2260"/>
      <c r="H50" s="2259"/>
      <c r="I50" s="1364"/>
      <c r="J50" s="1364"/>
      <c r="K50" s="1364"/>
      <c r="L50" s="1365"/>
      <c r="M50" s="1366"/>
      <c r="N50" s="1366"/>
      <c r="O50" s="538"/>
      <c r="P50" s="361"/>
      <c r="Q50" s="376"/>
      <c r="R50" s="356"/>
      <c r="S50" s="1279"/>
      <c r="T50" s="373" t="s">
        <v>521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259</v>
      </c>
      <c r="B51" s="1344" t="s">
        <v>260</v>
      </c>
      <c r="C51" s="1315"/>
      <c r="D51" s="1315"/>
      <c r="E51" s="2260"/>
      <c r="F51" s="2259"/>
      <c r="G51" s="1315"/>
      <c r="H51" s="1315"/>
      <c r="I51" s="1315"/>
      <c r="J51" s="1315"/>
      <c r="K51" s="1315"/>
      <c r="L51" s="1427"/>
      <c r="M51" s="1322"/>
      <c r="N51" s="1322"/>
      <c r="P51" s="1317"/>
      <c r="Q51" s="1318"/>
      <c r="R51" s="1317"/>
      <c r="S51" s="1323"/>
      <c r="T51" s="1326" t="s">
        <v>219</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259</v>
      </c>
      <c r="B52" s="1344"/>
      <c r="C52" s="1344"/>
      <c r="D52" s="1344"/>
      <c r="E52" s="2259"/>
      <c r="F52" s="1344"/>
      <c r="G52" s="1344"/>
      <c r="H52" s="1344"/>
      <c r="I52" s="1344"/>
      <c r="J52" s="1344"/>
      <c r="K52" s="1344"/>
      <c r="L52" s="1347"/>
      <c r="M52" s="1322"/>
      <c r="N52" s="1322"/>
      <c r="O52" s="519"/>
      <c r="P52" s="381"/>
      <c r="Q52" s="1345"/>
      <c r="R52" s="381"/>
      <c r="S52" s="1323"/>
      <c r="T52" s="1326" t="s">
        <v>227</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236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85</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B97F98-9D37-6F38-42A8-A67FC48D71C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137</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430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431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514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515</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516</v>
      </c>
      <c r="U5" s="301"/>
      <c r="V5" s="2351"/>
      <c r="W5" s="2352"/>
      <c r="X5" s="2352"/>
      <c r="Y5" s="2352"/>
      <c r="Z5" s="2352"/>
      <c r="AA5" s="2352"/>
      <c r="AB5" s="2353"/>
      <c r="AC5" s="2354"/>
      <c r="AD5" s="2355"/>
      <c r="AE5" s="2355"/>
      <c r="AF5" s="2355"/>
      <c r="AG5" s="2355"/>
      <c r="AH5" s="2355"/>
      <c r="AI5" s="2355"/>
      <c r="AJ5" s="2356"/>
      <c r="AK5" s="1259" t="s">
        <v>517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439</v>
      </c>
      <c r="P6" s="2258"/>
      <c r="Q6" s="2258">
        <v>1</v>
      </c>
      <c r="R6" s="358"/>
      <c r="S6" s="1458">
        <f>$J6</f>
      </c>
      <c r="T6" s="287" t="s">
        <v>440</v>
      </c>
      <c r="U6" s="301"/>
      <c r="V6" s="2246"/>
      <c r="W6" s="2247"/>
      <c r="X6" s="2247"/>
      <c r="Y6" s="2247"/>
      <c r="Z6" s="2247"/>
      <c r="AA6" s="2247"/>
      <c r="AB6" s="2248"/>
      <c r="AC6" s="2246"/>
      <c r="AD6" s="2247"/>
      <c r="AE6" s="2247"/>
      <c r="AF6" s="2247"/>
      <c r="AG6" s="2247"/>
      <c r="AH6" s="2247"/>
      <c r="AI6" s="2247"/>
      <c r="AJ6" s="2248"/>
      <c r="AK6" s="1308" t="s">
        <v>518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64</v>
      </c>
      <c r="AA7" s="2266"/>
      <c r="AB7" s="2108" t="s">
        <v>64</v>
      </c>
      <c r="AC7" s="752"/>
      <c r="AD7" s="752"/>
      <c r="AE7" s="1258"/>
      <c r="AF7" s="2266"/>
      <c r="AG7" s="2108" t="s">
        <v>64</v>
      </c>
      <c r="AH7" s="2288"/>
      <c r="AI7" s="2108" t="s">
        <v>64</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519</v>
      </c>
      <c r="U9" s="368"/>
      <c r="V9" s="368"/>
      <c r="W9" s="368"/>
      <c r="X9" s="368"/>
      <c r="Y9" s="368"/>
      <c r="Z9" s="368"/>
      <c r="AA9" s="368"/>
      <c r="AB9" s="368"/>
      <c r="AC9" s="368"/>
      <c r="AD9" s="368"/>
      <c r="AE9" s="368"/>
      <c r="AF9" s="368"/>
      <c r="AG9" s="368"/>
      <c r="AH9" s="368"/>
      <c r="AI9" s="368"/>
      <c r="AJ9" s="368"/>
      <c r="AK9" s="1259" t="s">
        <v>520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445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521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219</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227</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64</v>
      </c>
      <c r="AH15" s="2268"/>
      <c r="AI15" s="2269" t="s">
        <v>64</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447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448</v>
      </c>
      <c r="P20" s="1363"/>
      <c r="Q20" s="1443"/>
      <c r="R20" s="1443"/>
      <c r="S20" s="730"/>
      <c r="T20" s="1161" t="s">
        <v>449</v>
      </c>
      <c r="Z20" s="187" t="s">
        <v>450</v>
      </c>
      <c r="AB20" s="187" t="s">
        <v>451</v>
      </c>
      <c r="AC20" s="1161" t="s">
        <v>449</v>
      </c>
      <c r="AG20" s="187" t="s">
        <v>452</v>
      </c>
      <c r="AI20" s="187" t="s">
        <v>451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КГУП "Примтеплоэнерго"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Агентство по тарифам Приморского края</v>
      </c>
      <c r="W27" s="2252"/>
      <c r="X27" s="2252"/>
      <c r="Y27" s="2252"/>
      <c r="Z27" s="2252"/>
      <c r="AA27" s="2252"/>
      <c r="AB27" s="327"/>
      <c r="AC27" s="2252" t="str">
        <f>IF(TITLE_NAME_OR_PR_CHANGE="",IF(TITLE_NAME_OR_PR="","",TITLE_NAME_OR_PR),TITLE_NAME_OR_PR_CHANGE)</f>
        <v>Агентство по тарифам Приморского края</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453</v>
      </c>
      <c r="T28" s="2251"/>
      <c r="U28" s="1373"/>
      <c r="V28" s="2265" t="str">
        <f>IF(TITLE_DATE_PR_CHANGE="",IF(TITLE_DATE_PR="","",TITLE_DATE_PR),TITLE_DATE_PR_CHANGE)</f>
        <v>45777.43633101852</v>
      </c>
      <c r="W28" s="2265"/>
      <c r="X28" s="2265"/>
      <c r="Y28" s="2265"/>
      <c r="Z28" s="2265"/>
      <c r="AA28" s="2265"/>
      <c r="AB28" s="327"/>
      <c r="AC28" s="2265" t="str">
        <f>IF(TITLE_DATE_PR_CHANGE="",IF(TITLE_DATE_PR="","",TITLE_DATE_PR),TITLE_DATE_PR_CHANGE)</f>
        <v>45777.43633101852</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454</v>
      </c>
      <c r="T29" s="2251"/>
      <c r="U29" s="1373"/>
      <c r="V29" s="2252" t="str">
        <f>IF(TITLE_NUMBER_PR_CHANGE="",IF(TITLE_NUMBER_PR="","",TITLE_NUMBER_PR),TITLE_NUMBER_PR_CHANGE)</f>
        <v>17-1</v>
      </c>
      <c r="W29" s="2252"/>
      <c r="X29" s="2252"/>
      <c r="Y29" s="2252"/>
      <c r="Z29" s="2252"/>
      <c r="AA29" s="2252"/>
      <c r="AB29" s="327"/>
      <c r="AC29" s="2252" t="str">
        <f>IF(TITLE_NUMBER_PR_CHANGE="",IF(TITLE_NUMBER_PR="","",TITLE_NUMBER_PR),TITLE_NUMBER_PR_CHANGE)</f>
        <v>17-1</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http://pravo.gov.ru</v>
      </c>
      <c r="W30" s="2252"/>
      <c r="X30" s="2252"/>
      <c r="Y30" s="2252"/>
      <c r="Z30" s="2252"/>
      <c r="AA30" s="2252"/>
      <c r="AB30" s="327"/>
      <c r="AC30" s="2252" t="str">
        <f>IF(TITLE_IST_PUB_CHANGE="",IF(TITLE_IST_PUB="","",TITLE_IST_PUB),TITLE_IST_PUB_CHANGE)</f>
        <v>http://pravo.gov.ru</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455</v>
      </c>
      <c r="T32" s="2251"/>
      <c r="U32" s="1373"/>
      <c r="V32" s="2265" t="str">
        <f>IF(TITLE_DATE_PR_CHANGE="",IF(TITLE_DATE_PR="","",TITLE_DATE_PR),TITLE_DATE_PR_CHANGE)</f>
        <v>45777.43633101852</v>
      </c>
      <c r="W32" s="2265"/>
      <c r="X32" s="2265"/>
      <c r="Y32" s="2265"/>
      <c r="Z32" s="2265"/>
      <c r="AA32" s="2265"/>
      <c r="AB32" s="327"/>
      <c r="AC32" s="2265" t="str">
        <f>IF(TITLE_DATE_PR_CHANGE="",IF(TITLE_DATE_PR="","",TITLE_DATE_PR),TITLE_DATE_PR_CHANGE)</f>
        <v>45777.43633101852</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456</v>
      </c>
      <c r="T33" s="2251"/>
      <c r="U33" s="1373"/>
      <c r="V33" s="2252" t="str">
        <f>IF(TITLE_NUMBER_PR_CHANGE="",IF(TITLE_NUMBER_PR="","",TITLE_NUMBER_PR),TITLE_NUMBER_PR_CHANGE)</f>
        <v>17-1</v>
      </c>
      <c r="W33" s="2252"/>
      <c r="X33" s="2252"/>
      <c r="Y33" s="2252"/>
      <c r="Z33" s="2252"/>
      <c r="AA33" s="2252"/>
      <c r="AB33" s="327"/>
      <c r="AC33" s="2252" t="str">
        <f>IF(TITLE_NUMBER_PR_CHANGE="",IF(TITLE_NUMBER_PR="","",TITLE_NUMBER_PR),TITLE_NUMBER_PR_CHANGE)</f>
        <v>17-1</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457</v>
      </c>
      <c r="AC34" s="327"/>
      <c r="AD34" s="327"/>
      <c r="AE34" s="327"/>
      <c r="AF34" s="327"/>
      <c r="AG34" s="327"/>
      <c r="AH34" s="327"/>
      <c r="AI34" s="279" t="s">
        <v>457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333</v>
      </c>
      <c r="T36" s="2128"/>
      <c r="U36" s="2128"/>
      <c r="V36" s="2128"/>
      <c r="W36" s="2128"/>
      <c r="X36" s="2128"/>
      <c r="Y36" s="2128"/>
      <c r="Z36" s="2128"/>
      <c r="AA36" s="2128"/>
      <c r="AB36" s="2128"/>
      <c r="AC36" s="2128"/>
      <c r="AD36" s="2128"/>
      <c r="AE36" s="2128"/>
      <c r="AF36" s="2128"/>
      <c r="AG36" s="2128"/>
      <c r="AH36" s="2128"/>
      <c r="AI36" s="2128"/>
      <c r="AJ36" s="2128"/>
      <c r="AK36" s="2128" t="s">
        <v>334</v>
      </c>
      <c r="AQ36" s="1156">
        <v>14</v>
      </c>
    </row>
    <row customHeight="1" ht="14.699999999999998">
      <c r="Q37" s="377"/>
      <c r="R37" s="377"/>
      <c r="S37" s="2274" t="s">
        <v>91</v>
      </c>
      <c r="T37" s="2210" t="s">
        <v>458</v>
      </c>
      <c r="U37" s="302"/>
      <c r="V37" s="2275" t="s">
        <v>459</v>
      </c>
      <c r="W37" s="2276"/>
      <c r="X37" s="2276"/>
      <c r="Y37" s="2276"/>
      <c r="Z37" s="2276"/>
      <c r="AA37" s="2277"/>
      <c r="AB37" s="2278" t="s">
        <v>460</v>
      </c>
      <c r="AC37" s="2275" t="s">
        <v>459</v>
      </c>
      <c r="AD37" s="2276"/>
      <c r="AE37" s="2276"/>
      <c r="AF37" s="2276"/>
      <c r="AG37" s="2276"/>
      <c r="AH37" s="2277"/>
      <c r="AI37" s="2278" t="s">
        <v>461</v>
      </c>
      <c r="AJ37" s="2281" t="s">
        <v>462</v>
      </c>
      <c r="AK37" s="2128"/>
      <c r="AQ37" s="1156">
        <v>14</v>
      </c>
    </row>
    <row customHeight="1" ht="35.699999999999996">
      <c r="Q38" s="377"/>
      <c r="R38" s="377"/>
      <c r="S38" s="2274"/>
      <c r="T38" s="2210"/>
      <c r="U38" s="1032"/>
      <c r="V38" s="1453" t="s">
        <v>522</v>
      </c>
      <c r="W38" s="2263" t="s">
        <v>465</v>
      </c>
      <c r="X38" s="2264"/>
      <c r="Y38" s="2263" t="s">
        <v>466</v>
      </c>
      <c r="Z38" s="2270"/>
      <c r="AA38" s="2264"/>
      <c r="AB38" s="2279"/>
      <c r="AC38" s="1453" t="s">
        <v>522</v>
      </c>
      <c r="AD38" s="2263" t="s">
        <v>465</v>
      </c>
      <c r="AE38" s="2264"/>
      <c r="AF38" s="2263" t="s">
        <v>466</v>
      </c>
      <c r="AG38" s="2270"/>
      <c r="AH38" s="2264"/>
      <c r="AI38" s="2279"/>
      <c r="AJ38" s="2282"/>
      <c r="AK38" s="2128"/>
      <c r="AQ38" s="1156">
        <v>34</v>
      </c>
    </row>
    <row customHeight="1" ht="35.699999999999996">
      <c r="A39" s="1371"/>
      <c r="B39" s="1371" t="s">
        <v>149</v>
      </c>
      <c r="C39" s="1371" t="s">
        <v>150</v>
      </c>
      <c r="D39" s="1371" t="s">
        <v>151</v>
      </c>
      <c r="E39" s="1365" t="s">
        <v>467</v>
      </c>
      <c r="F39" s="1365" t="s">
        <v>468</v>
      </c>
      <c r="G39" s="1365" t="s">
        <v>469</v>
      </c>
      <c r="H39" s="1365"/>
      <c r="I39" s="1365" t="s">
        <v>523</v>
      </c>
      <c r="J39" s="1365" t="s">
        <v>472</v>
      </c>
      <c r="K39" s="1365" t="s">
        <v>524</v>
      </c>
      <c r="L39" s="1365" t="s">
        <v>448</v>
      </c>
      <c r="Q39" s="377"/>
      <c r="R39" s="377"/>
      <c r="S39" s="2274"/>
      <c r="T39" s="2210"/>
      <c r="U39" s="303"/>
      <c r="V39" s="1453" t="s">
        <v>525</v>
      </c>
      <c r="W39" s="1223" t="s">
        <v>526</v>
      </c>
      <c r="X39" s="1223" t="s">
        <v>527</v>
      </c>
      <c r="Y39" s="1456" t="s">
        <v>476</v>
      </c>
      <c r="Z39" s="2271" t="s">
        <v>477</v>
      </c>
      <c r="AA39" s="2272"/>
      <c r="AB39" s="2280"/>
      <c r="AC39" s="1453" t="s">
        <v>525</v>
      </c>
      <c r="AD39" s="1223" t="s">
        <v>526</v>
      </c>
      <c r="AE39" s="1223" t="s">
        <v>527</v>
      </c>
      <c r="AF39" s="1456" t="s">
        <v>476</v>
      </c>
      <c r="AG39" s="2271" t="s">
        <v>477</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124</v>
      </c>
      <c r="T40" s="1256" t="s">
        <v>107</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264</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137</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264</v>
      </c>
      <c r="B42" s="1364" t="s">
        <v>265</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430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431</v>
      </c>
      <c r="AM42" s="501"/>
      <c r="AN42" s="501" t="str">
        <f>IF(T42="","",T42)</f>
        <v>Территория действия тарифа</v>
      </c>
      <c r="AO42" s="501"/>
      <c r="AP42" s="501"/>
      <c r="AQ42" s="1156">
        <v>23</v>
      </c>
    </row>
    <row customHeight="1" ht="24">
      <c r="A43" s="1364" t="s">
        <v>264</v>
      </c>
      <c r="B43" s="1364" t="s">
        <v>265</v>
      </c>
      <c r="C43" s="1364" t="s">
        <v>266</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514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515</v>
      </c>
      <c r="AM43" s="501"/>
      <c r="AN43" s="501" t="str">
        <f>IF(T43="","",T43)</f>
        <v>Наименование централизованной системы холодного водоснабжения</v>
      </c>
      <c r="AO43" s="501"/>
      <c r="AP43" s="501"/>
      <c r="AQ43" s="1156">
        <v>23</v>
      </c>
    </row>
    <row customHeight="1" ht="24">
      <c r="A44" s="1364" t="s">
        <v>264</v>
      </c>
      <c r="B44" s="1364" t="s">
        <v>265</v>
      </c>
      <c r="C44" s="1364" t="s">
        <v>266</v>
      </c>
      <c r="D44" s="1364" t="s">
        <v>529</v>
      </c>
      <c r="E44" s="2260"/>
      <c r="F44" s="2260"/>
      <c r="G44" s="2260"/>
      <c r="H44" s="2260"/>
      <c r="I44" s="2257" t="str">
        <f>S43&amp;".1"</f>
        <v>...1</v>
      </c>
      <c r="J44" s="1364"/>
      <c r="K44" s="1364"/>
      <c r="L44" s="1365"/>
      <c r="P44" s="2258">
        <v>1</v>
      </c>
      <c r="Q44" s="1451"/>
      <c r="R44" s="357"/>
      <c r="S44" s="1458" t="str">
        <f>$I44</f>
        <v>...1</v>
      </c>
      <c r="T44" s="286" t="s">
        <v>516</v>
      </c>
      <c r="U44" s="301"/>
      <c r="V44" s="2351"/>
      <c r="W44" s="2352"/>
      <c r="X44" s="2352"/>
      <c r="Y44" s="2352"/>
      <c r="Z44" s="2352"/>
      <c r="AA44" s="2352"/>
      <c r="AB44" s="2353"/>
      <c r="AC44" s="2354"/>
      <c r="AD44" s="2355"/>
      <c r="AE44" s="2355"/>
      <c r="AF44" s="2355"/>
      <c r="AG44" s="2355"/>
      <c r="AH44" s="2355"/>
      <c r="AI44" s="2355"/>
      <c r="AJ44" s="2356"/>
      <c r="AK44" s="1259" t="s">
        <v>517</v>
      </c>
      <c r="AM44" s="501"/>
      <c r="AN44" s="501" t="str">
        <f>IF(T44="","",T44)</f>
        <v>Наименование признака дифференциации</v>
      </c>
      <c r="AO44" s="501"/>
      <c r="AP44" s="501"/>
      <c r="AQ44" s="1156">
        <v>23</v>
      </c>
    </row>
    <row customHeight="1" ht="24">
      <c r="A45" s="1364" t="s">
        <v>264</v>
      </c>
      <c r="B45" s="1364" t="s">
        <v>265</v>
      </c>
      <c r="C45" s="1364" t="s">
        <v>266</v>
      </c>
      <c r="D45" s="1364" t="s">
        <v>529</v>
      </c>
      <c r="E45" s="2260"/>
      <c r="F45" s="2260"/>
      <c r="G45" s="2260"/>
      <c r="H45" s="2260"/>
      <c r="I45" s="2287"/>
      <c r="J45" s="2257" t="str">
        <f>I44&amp;".1"</f>
        <v>...1.1</v>
      </c>
      <c r="K45" s="1364"/>
      <c r="L45" s="1365" t="s">
        <v>439</v>
      </c>
      <c r="P45" s="2258"/>
      <c r="Q45" s="2258">
        <v>1</v>
      </c>
      <c r="R45" s="358"/>
      <c r="S45" s="1458" t="str">
        <f>$J45</f>
        <v>...1.1</v>
      </c>
      <c r="T45" s="287" t="s">
        <v>440</v>
      </c>
      <c r="U45" s="301"/>
      <c r="V45" s="2246"/>
      <c r="W45" s="2247"/>
      <c r="X45" s="2247"/>
      <c r="Y45" s="2247"/>
      <c r="Z45" s="2247"/>
      <c r="AA45" s="2247"/>
      <c r="AB45" s="2248"/>
      <c r="AC45" s="2246"/>
      <c r="AD45" s="2247"/>
      <c r="AE45" s="2247"/>
      <c r="AF45" s="2247"/>
      <c r="AG45" s="2247"/>
      <c r="AH45" s="2247"/>
      <c r="AI45" s="2247"/>
      <c r="AJ45" s="2248"/>
      <c r="AK45" s="1308" t="s">
        <v>518</v>
      </c>
      <c r="AM45" s="501"/>
      <c r="AN45" s="501" t="str">
        <f>IF(T45="","",T45)</f>
        <v>Группа потребителей</v>
      </c>
      <c r="AO45" s="501"/>
      <c r="AP45" s="501"/>
      <c r="AQ45" s="1156">
        <v>23</v>
      </c>
    </row>
    <row customHeight="1" ht="24">
      <c r="A46" s="1364" t="s">
        <v>264</v>
      </c>
      <c r="B46" s="1364" t="s">
        <v>265</v>
      </c>
      <c r="C46" s="1364" t="s">
        <v>266</v>
      </c>
      <c r="D46" s="1364" t="s">
        <v>529</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64</v>
      </c>
      <c r="AA46" s="2266"/>
      <c r="AB46" s="2108" t="s">
        <v>64</v>
      </c>
      <c r="AC46" s="752"/>
      <c r="AD46" s="752"/>
      <c r="AE46" s="1258"/>
      <c r="AF46" s="2266"/>
      <c r="AG46" s="2108" t="s">
        <v>64</v>
      </c>
      <c r="AH46" s="2288"/>
      <c r="AI46" s="2108" t="s">
        <v>64</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264</v>
      </c>
      <c r="B47" s="1364" t="s">
        <v>265</v>
      </c>
      <c r="C47" s="1364" t="s">
        <v>266</v>
      </c>
      <c r="D47" s="1364" t="s">
        <v>529</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264</v>
      </c>
      <c r="B48" s="1364" t="s">
        <v>265</v>
      </c>
      <c r="C48" s="1364" t="s">
        <v>266</v>
      </c>
      <c r="D48" s="1364" t="s">
        <v>529</v>
      </c>
      <c r="E48" s="2260"/>
      <c r="F48" s="2260"/>
      <c r="G48" s="2260"/>
      <c r="H48" s="2260"/>
      <c r="I48" s="2287"/>
      <c r="J48" s="2257"/>
      <c r="K48" s="1364"/>
      <c r="L48" s="1365"/>
      <c r="P48" s="2258"/>
      <c r="Q48" s="2258"/>
      <c r="R48" s="357"/>
      <c r="S48" s="1279"/>
      <c r="T48" s="288" t="s">
        <v>519</v>
      </c>
      <c r="U48" s="368"/>
      <c r="V48" s="368"/>
      <c r="W48" s="368"/>
      <c r="X48" s="368"/>
      <c r="Y48" s="368"/>
      <c r="Z48" s="368"/>
      <c r="AA48" s="368"/>
      <c r="AB48" s="368"/>
      <c r="AC48" s="368"/>
      <c r="AD48" s="368"/>
      <c r="AE48" s="368"/>
      <c r="AF48" s="368"/>
      <c r="AG48" s="368"/>
      <c r="AH48" s="368"/>
      <c r="AI48" s="368"/>
      <c r="AJ48" s="368"/>
      <c r="AK48" s="1259" t="s">
        <v>520</v>
      </c>
      <c r="AM48" s="501"/>
      <c r="AN48" s="501" t="str">
        <f>IF(T48="","",T48)</f>
        <v>Добавить значение признака дифференциации</v>
      </c>
      <c r="AO48" s="501"/>
      <c r="AP48" s="501"/>
      <c r="AQ48" s="1156">
        <v>20</v>
      </c>
    </row>
    <row customHeight="1" ht="22.049999999999997">
      <c r="A49" s="1364" t="s">
        <v>264</v>
      </c>
      <c r="B49" s="1364" t="s">
        <v>265</v>
      </c>
      <c r="C49" s="1364" t="s">
        <v>266</v>
      </c>
      <c r="D49" s="1364" t="s">
        <v>529</v>
      </c>
      <c r="E49" s="2260"/>
      <c r="F49" s="2260"/>
      <c r="G49" s="2260"/>
      <c r="H49" s="2260"/>
      <c r="I49" s="2257"/>
      <c r="J49" s="1364"/>
      <c r="K49" s="1364"/>
      <c r="L49" s="1365"/>
      <c r="P49" s="2258"/>
      <c r="Q49" s="1451"/>
      <c r="R49" s="357"/>
      <c r="S49" s="1279"/>
      <c r="T49" s="366" t="s">
        <v>445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264</v>
      </c>
      <c r="B50" s="1364" t="s">
        <v>265</v>
      </c>
      <c r="C50" s="1364" t="s">
        <v>266</v>
      </c>
      <c r="D50" s="1364" t="s">
        <v>529</v>
      </c>
      <c r="E50" s="2260"/>
      <c r="F50" s="2260"/>
      <c r="G50" s="2260"/>
      <c r="H50" s="2259"/>
      <c r="I50" s="1364"/>
      <c r="J50" s="1364"/>
      <c r="K50" s="1364"/>
      <c r="L50" s="1365"/>
      <c r="M50" s="1366"/>
      <c r="N50" s="1366"/>
      <c r="O50" s="538"/>
      <c r="P50" s="361"/>
      <c r="Q50" s="376"/>
      <c r="R50" s="356"/>
      <c r="S50" s="1279"/>
      <c r="T50" s="373" t="s">
        <v>521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264</v>
      </c>
      <c r="B51" s="1344" t="s">
        <v>265</v>
      </c>
      <c r="C51" s="1315"/>
      <c r="D51" s="1315"/>
      <c r="E51" s="2260"/>
      <c r="F51" s="2259"/>
      <c r="G51" s="1315"/>
      <c r="H51" s="1315"/>
      <c r="I51" s="1315"/>
      <c r="J51" s="1315"/>
      <c r="K51" s="1315"/>
      <c r="L51" s="1459"/>
      <c r="M51" s="1322"/>
      <c r="N51" s="1322"/>
      <c r="P51" s="1317"/>
      <c r="Q51" s="1318"/>
      <c r="R51" s="1317"/>
      <c r="S51" s="1323"/>
      <c r="T51" s="1326" t="s">
        <v>219</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264</v>
      </c>
      <c r="B52" s="1344"/>
      <c r="C52" s="1344"/>
      <c r="D52" s="1344"/>
      <c r="E52" s="2259"/>
      <c r="F52" s="1344"/>
      <c r="G52" s="1344"/>
      <c r="H52" s="1344"/>
      <c r="I52" s="1344"/>
      <c r="J52" s="1344"/>
      <c r="K52" s="1344"/>
      <c r="L52" s="1347"/>
      <c r="M52" s="1322"/>
      <c r="N52" s="1322"/>
      <c r="O52" s="519"/>
      <c r="P52" s="381"/>
      <c r="Q52" s="1345"/>
      <c r="R52" s="381"/>
      <c r="S52" s="1323"/>
      <c r="T52" s="1326" t="s">
        <v>227</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236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85</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4F7E6E-CDC1-FCF6-5778-7AA7DC9AA73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137</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430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431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514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515</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516</v>
      </c>
      <c r="U5" s="301"/>
      <c r="V5" s="2351"/>
      <c r="W5" s="2352"/>
      <c r="X5" s="2352"/>
      <c r="Y5" s="2352"/>
      <c r="Z5" s="2352"/>
      <c r="AA5" s="2352"/>
      <c r="AB5" s="2353"/>
      <c r="AC5" s="2354"/>
      <c r="AD5" s="2355"/>
      <c r="AE5" s="2355"/>
      <c r="AF5" s="2355"/>
      <c r="AG5" s="2355"/>
      <c r="AH5" s="2355"/>
      <c r="AI5" s="2355"/>
      <c r="AJ5" s="2356"/>
      <c r="AK5" s="1259" t="s">
        <v>517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439</v>
      </c>
      <c r="P6" s="2258"/>
      <c r="Q6" s="2258">
        <v>1</v>
      </c>
      <c r="R6" s="358"/>
      <c r="S6" s="1458">
        <f>$J6</f>
      </c>
      <c r="T6" s="287" t="s">
        <v>440</v>
      </c>
      <c r="U6" s="301"/>
      <c r="V6" s="2246"/>
      <c r="W6" s="2247"/>
      <c r="X6" s="2247"/>
      <c r="Y6" s="2247"/>
      <c r="Z6" s="2247"/>
      <c r="AA6" s="2247"/>
      <c r="AB6" s="2248"/>
      <c r="AC6" s="2246"/>
      <c r="AD6" s="2247"/>
      <c r="AE6" s="2247"/>
      <c r="AF6" s="2247"/>
      <c r="AG6" s="2247"/>
      <c r="AH6" s="2247"/>
      <c r="AI6" s="2247"/>
      <c r="AJ6" s="2248"/>
      <c r="AK6" s="1308" t="s">
        <v>518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64</v>
      </c>
      <c r="AA7" s="2266"/>
      <c r="AB7" s="2108" t="s">
        <v>64</v>
      </c>
      <c r="AC7" s="752"/>
      <c r="AD7" s="752"/>
      <c r="AE7" s="1258"/>
      <c r="AF7" s="2266"/>
      <c r="AG7" s="2108" t="s">
        <v>64</v>
      </c>
      <c r="AH7" s="2288"/>
      <c r="AI7" s="2108" t="s">
        <v>64</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519</v>
      </c>
      <c r="U9" s="368"/>
      <c r="V9" s="368"/>
      <c r="W9" s="368"/>
      <c r="X9" s="368"/>
      <c r="Y9" s="368"/>
      <c r="Z9" s="368"/>
      <c r="AA9" s="368"/>
      <c r="AB9" s="368"/>
      <c r="AC9" s="368"/>
      <c r="AD9" s="368"/>
      <c r="AE9" s="368"/>
      <c r="AF9" s="368"/>
      <c r="AG9" s="368"/>
      <c r="AH9" s="368"/>
      <c r="AI9" s="368"/>
      <c r="AJ9" s="368"/>
      <c r="AK9" s="1259" t="s">
        <v>520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445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521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219</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227</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64</v>
      </c>
      <c r="AH15" s="2268"/>
      <c r="AI15" s="2269" t="s">
        <v>64</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447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448</v>
      </c>
      <c r="P20" s="1363"/>
      <c r="Q20" s="1443"/>
      <c r="R20" s="1443"/>
      <c r="S20" s="730"/>
      <c r="T20" s="1161" t="s">
        <v>449</v>
      </c>
      <c r="Z20" s="187" t="s">
        <v>450</v>
      </c>
      <c r="AB20" s="187" t="s">
        <v>451</v>
      </c>
      <c r="AC20" s="1161" t="s">
        <v>449</v>
      </c>
      <c r="AG20" s="187" t="s">
        <v>452</v>
      </c>
      <c r="AI20" s="187" t="s">
        <v>451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КГУП "Примтеплоэнерго"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Агентство по тарифам Приморского края</v>
      </c>
      <c r="W27" s="2252"/>
      <c r="X27" s="2252"/>
      <c r="Y27" s="2252"/>
      <c r="Z27" s="2252"/>
      <c r="AA27" s="2252"/>
      <c r="AB27" s="327"/>
      <c r="AC27" s="2252" t="str">
        <f>IF(TITLE_NAME_OR_PR_CHANGE="",IF(TITLE_NAME_OR_PR="","",TITLE_NAME_OR_PR),TITLE_NAME_OR_PR_CHANGE)</f>
        <v>Агентство по тарифам Приморского края</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453</v>
      </c>
      <c r="T28" s="2251"/>
      <c r="U28" s="1373"/>
      <c r="V28" s="2265" t="str">
        <f>IF(TITLE_DATE_PR_CHANGE="",IF(TITLE_DATE_PR="","",TITLE_DATE_PR),TITLE_DATE_PR_CHANGE)</f>
        <v>45777.43633101852</v>
      </c>
      <c r="W28" s="2265"/>
      <c r="X28" s="2265"/>
      <c r="Y28" s="2265"/>
      <c r="Z28" s="2265"/>
      <c r="AA28" s="2265"/>
      <c r="AB28" s="327"/>
      <c r="AC28" s="2265" t="str">
        <f>IF(TITLE_DATE_PR_CHANGE="",IF(TITLE_DATE_PR="","",TITLE_DATE_PR),TITLE_DATE_PR_CHANGE)</f>
        <v>45777.43633101852</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454</v>
      </c>
      <c r="T29" s="2251"/>
      <c r="U29" s="1373"/>
      <c r="V29" s="2252" t="str">
        <f>IF(TITLE_NUMBER_PR_CHANGE="",IF(TITLE_NUMBER_PR="","",TITLE_NUMBER_PR),TITLE_NUMBER_PR_CHANGE)</f>
        <v>17-1</v>
      </c>
      <c r="W29" s="2252"/>
      <c r="X29" s="2252"/>
      <c r="Y29" s="2252"/>
      <c r="Z29" s="2252"/>
      <c r="AA29" s="2252"/>
      <c r="AB29" s="327"/>
      <c r="AC29" s="2252" t="str">
        <f>IF(TITLE_NUMBER_PR_CHANGE="",IF(TITLE_NUMBER_PR="","",TITLE_NUMBER_PR),TITLE_NUMBER_PR_CHANGE)</f>
        <v>17-1</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http://pravo.gov.ru</v>
      </c>
      <c r="W30" s="2252"/>
      <c r="X30" s="2252"/>
      <c r="Y30" s="2252"/>
      <c r="Z30" s="2252"/>
      <c r="AA30" s="2252"/>
      <c r="AB30" s="327"/>
      <c r="AC30" s="2252" t="str">
        <f>IF(TITLE_IST_PUB_CHANGE="",IF(TITLE_IST_PUB="","",TITLE_IST_PUB),TITLE_IST_PUB_CHANGE)</f>
        <v>http://pravo.gov.ru</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455</v>
      </c>
      <c r="T32" s="2251"/>
      <c r="U32" s="1373"/>
      <c r="V32" s="2265" t="str">
        <f>IF(TITLE_DATE_PR_CHANGE="",IF(TITLE_DATE_PR="","",TITLE_DATE_PR),TITLE_DATE_PR_CHANGE)</f>
        <v>45777.43633101852</v>
      </c>
      <c r="W32" s="2265"/>
      <c r="X32" s="2265"/>
      <c r="Y32" s="2265"/>
      <c r="Z32" s="2265"/>
      <c r="AA32" s="2265"/>
      <c r="AB32" s="327"/>
      <c r="AC32" s="2265" t="str">
        <f>IF(TITLE_DATE_PR_CHANGE="",IF(TITLE_DATE_PR="","",TITLE_DATE_PR),TITLE_DATE_PR_CHANGE)</f>
        <v>45777.43633101852</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456</v>
      </c>
      <c r="T33" s="2251"/>
      <c r="U33" s="1373"/>
      <c r="V33" s="2252" t="str">
        <f>IF(TITLE_NUMBER_PR_CHANGE="",IF(TITLE_NUMBER_PR="","",TITLE_NUMBER_PR),TITLE_NUMBER_PR_CHANGE)</f>
        <v>17-1</v>
      </c>
      <c r="W33" s="2252"/>
      <c r="X33" s="2252"/>
      <c r="Y33" s="2252"/>
      <c r="Z33" s="2252"/>
      <c r="AA33" s="2252"/>
      <c r="AB33" s="327"/>
      <c r="AC33" s="2252" t="str">
        <f>IF(TITLE_NUMBER_PR_CHANGE="",IF(TITLE_NUMBER_PR="","",TITLE_NUMBER_PR),TITLE_NUMBER_PR_CHANGE)</f>
        <v>17-1</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457</v>
      </c>
      <c r="AC34" s="327"/>
      <c r="AD34" s="327"/>
      <c r="AE34" s="327"/>
      <c r="AF34" s="327"/>
      <c r="AG34" s="327"/>
      <c r="AH34" s="327"/>
      <c r="AI34" s="279" t="s">
        <v>457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333</v>
      </c>
      <c r="T36" s="2128"/>
      <c r="U36" s="2128"/>
      <c r="V36" s="2128"/>
      <c r="W36" s="2128"/>
      <c r="X36" s="2128"/>
      <c r="Y36" s="2128"/>
      <c r="Z36" s="2128"/>
      <c r="AA36" s="2128"/>
      <c r="AB36" s="2128"/>
      <c r="AC36" s="2128"/>
      <c r="AD36" s="2128"/>
      <c r="AE36" s="2128"/>
      <c r="AF36" s="2128"/>
      <c r="AG36" s="2128"/>
      <c r="AH36" s="2128"/>
      <c r="AI36" s="2128"/>
      <c r="AJ36" s="2128"/>
      <c r="AK36" s="2128" t="s">
        <v>334</v>
      </c>
      <c r="AQ36" s="1156">
        <v>14</v>
      </c>
    </row>
    <row customHeight="1" ht="14.699999999999998">
      <c r="Q37" s="377"/>
      <c r="R37" s="377"/>
      <c r="S37" s="2274" t="s">
        <v>91</v>
      </c>
      <c r="T37" s="2210" t="s">
        <v>458</v>
      </c>
      <c r="U37" s="302"/>
      <c r="V37" s="2275" t="s">
        <v>459</v>
      </c>
      <c r="W37" s="2276"/>
      <c r="X37" s="2276"/>
      <c r="Y37" s="2276"/>
      <c r="Z37" s="2276"/>
      <c r="AA37" s="2277"/>
      <c r="AB37" s="2278" t="s">
        <v>460</v>
      </c>
      <c r="AC37" s="2275" t="s">
        <v>459</v>
      </c>
      <c r="AD37" s="2276"/>
      <c r="AE37" s="2276"/>
      <c r="AF37" s="2276"/>
      <c r="AG37" s="2276"/>
      <c r="AH37" s="2277"/>
      <c r="AI37" s="2278" t="s">
        <v>461</v>
      </c>
      <c r="AJ37" s="2281" t="s">
        <v>462</v>
      </c>
      <c r="AK37" s="2128"/>
      <c r="AQ37" s="1156">
        <v>14</v>
      </c>
    </row>
    <row customHeight="1" ht="35.699999999999996">
      <c r="Q38" s="377"/>
      <c r="R38" s="377"/>
      <c r="S38" s="2274"/>
      <c r="T38" s="2210"/>
      <c r="U38" s="1032"/>
      <c r="V38" s="1453" t="s">
        <v>522</v>
      </c>
      <c r="W38" s="2263" t="s">
        <v>465</v>
      </c>
      <c r="X38" s="2264"/>
      <c r="Y38" s="2263" t="s">
        <v>466</v>
      </c>
      <c r="Z38" s="2270"/>
      <c r="AA38" s="2264"/>
      <c r="AB38" s="2279"/>
      <c r="AC38" s="1453" t="s">
        <v>522</v>
      </c>
      <c r="AD38" s="2263" t="s">
        <v>465</v>
      </c>
      <c r="AE38" s="2264"/>
      <c r="AF38" s="2263" t="s">
        <v>466</v>
      </c>
      <c r="AG38" s="2270"/>
      <c r="AH38" s="2264"/>
      <c r="AI38" s="2279"/>
      <c r="AJ38" s="2282"/>
      <c r="AK38" s="2128"/>
      <c r="AQ38" s="1156">
        <v>34</v>
      </c>
    </row>
    <row customHeight="1" ht="35.699999999999996">
      <c r="A39" s="1371"/>
      <c r="B39" s="1371" t="s">
        <v>149</v>
      </c>
      <c r="C39" s="1371" t="s">
        <v>150</v>
      </c>
      <c r="D39" s="1371" t="s">
        <v>151</v>
      </c>
      <c r="E39" s="1365" t="s">
        <v>467</v>
      </c>
      <c r="F39" s="1365" t="s">
        <v>468</v>
      </c>
      <c r="G39" s="1365" t="s">
        <v>469</v>
      </c>
      <c r="H39" s="1365"/>
      <c r="I39" s="1365" t="s">
        <v>523</v>
      </c>
      <c r="J39" s="1365" t="s">
        <v>472</v>
      </c>
      <c r="K39" s="1365" t="s">
        <v>524</v>
      </c>
      <c r="L39" s="1365" t="s">
        <v>448</v>
      </c>
      <c r="Q39" s="377"/>
      <c r="R39" s="377"/>
      <c r="S39" s="2274"/>
      <c r="T39" s="2210"/>
      <c r="U39" s="303"/>
      <c r="V39" s="1453" t="s">
        <v>525</v>
      </c>
      <c r="W39" s="1223" t="s">
        <v>526</v>
      </c>
      <c r="X39" s="1223" t="s">
        <v>527</v>
      </c>
      <c r="Y39" s="1456" t="s">
        <v>476</v>
      </c>
      <c r="Z39" s="2271" t="s">
        <v>477</v>
      </c>
      <c r="AA39" s="2272"/>
      <c r="AB39" s="2280"/>
      <c r="AC39" s="1453" t="s">
        <v>525</v>
      </c>
      <c r="AD39" s="1223" t="s">
        <v>526</v>
      </c>
      <c r="AE39" s="1223" t="s">
        <v>527</v>
      </c>
      <c r="AF39" s="1456" t="s">
        <v>476</v>
      </c>
      <c r="AG39" s="2271" t="s">
        <v>477</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124</v>
      </c>
      <c r="T40" s="1256" t="s">
        <v>107</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269</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137</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269</v>
      </c>
      <c r="B42" s="1364" t="s">
        <v>270</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430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431</v>
      </c>
      <c r="AM42" s="501"/>
      <c r="AN42" s="501" t="str">
        <f>IF(T42="","",T42)</f>
        <v>Территория действия тарифа</v>
      </c>
      <c r="AO42" s="501"/>
      <c r="AP42" s="501"/>
      <c r="AQ42" s="1156">
        <v>23</v>
      </c>
    </row>
    <row customHeight="1" ht="24">
      <c r="A43" s="1364" t="s">
        <v>269</v>
      </c>
      <c r="B43" s="1364" t="s">
        <v>270</v>
      </c>
      <c r="C43" s="1364" t="s">
        <v>271</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514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515</v>
      </c>
      <c r="AM43" s="501"/>
      <c r="AN43" s="501" t="str">
        <f>IF(T43="","",T43)</f>
        <v>Наименование централизованной системы холодного водоснабжения</v>
      </c>
      <c r="AO43" s="501"/>
      <c r="AP43" s="501"/>
      <c r="AQ43" s="1156">
        <v>23</v>
      </c>
    </row>
    <row customHeight="1" ht="24">
      <c r="A44" s="1364" t="s">
        <v>269</v>
      </c>
      <c r="B44" s="1364" t="s">
        <v>270</v>
      </c>
      <c r="C44" s="1364" t="s">
        <v>271</v>
      </c>
      <c r="D44" s="1364" t="s">
        <v>530</v>
      </c>
      <c r="E44" s="2260"/>
      <c r="F44" s="2260"/>
      <c r="G44" s="2260"/>
      <c r="H44" s="2260"/>
      <c r="I44" s="2257" t="str">
        <f>S43&amp;".1"</f>
        <v>...1</v>
      </c>
      <c r="J44" s="1364"/>
      <c r="K44" s="1364"/>
      <c r="L44" s="1365"/>
      <c r="P44" s="2258">
        <v>1</v>
      </c>
      <c r="Q44" s="1451"/>
      <c r="R44" s="357"/>
      <c r="S44" s="1458" t="str">
        <f>$I44</f>
        <v>...1</v>
      </c>
      <c r="T44" s="286" t="s">
        <v>516</v>
      </c>
      <c r="U44" s="301"/>
      <c r="V44" s="2351"/>
      <c r="W44" s="2352"/>
      <c r="X44" s="2352"/>
      <c r="Y44" s="2352"/>
      <c r="Z44" s="2352"/>
      <c r="AA44" s="2352"/>
      <c r="AB44" s="2353"/>
      <c r="AC44" s="2354"/>
      <c r="AD44" s="2355"/>
      <c r="AE44" s="2355"/>
      <c r="AF44" s="2355"/>
      <c r="AG44" s="2355"/>
      <c r="AH44" s="2355"/>
      <c r="AI44" s="2355"/>
      <c r="AJ44" s="2356"/>
      <c r="AK44" s="1259" t="s">
        <v>517</v>
      </c>
      <c r="AM44" s="501"/>
      <c r="AN44" s="501" t="str">
        <f>IF(T44="","",T44)</f>
        <v>Наименование признака дифференциации</v>
      </c>
      <c r="AO44" s="501"/>
      <c r="AP44" s="501"/>
      <c r="AQ44" s="1156">
        <v>23</v>
      </c>
    </row>
    <row customHeight="1" ht="24">
      <c r="A45" s="1364" t="s">
        <v>269</v>
      </c>
      <c r="B45" s="1364" t="s">
        <v>270</v>
      </c>
      <c r="C45" s="1364" t="s">
        <v>271</v>
      </c>
      <c r="D45" s="1364" t="s">
        <v>530</v>
      </c>
      <c r="E45" s="2260"/>
      <c r="F45" s="2260"/>
      <c r="G45" s="2260"/>
      <c r="H45" s="2260"/>
      <c r="I45" s="2287"/>
      <c r="J45" s="2257" t="str">
        <f>I44&amp;".1"</f>
        <v>...1.1</v>
      </c>
      <c r="K45" s="1364"/>
      <c r="L45" s="1365" t="s">
        <v>439</v>
      </c>
      <c r="P45" s="2258"/>
      <c r="Q45" s="2258">
        <v>1</v>
      </c>
      <c r="R45" s="358"/>
      <c r="S45" s="1458" t="str">
        <f>$J45</f>
        <v>...1.1</v>
      </c>
      <c r="T45" s="287" t="s">
        <v>440</v>
      </c>
      <c r="U45" s="301"/>
      <c r="V45" s="2246"/>
      <c r="W45" s="2247"/>
      <c r="X45" s="2247"/>
      <c r="Y45" s="2247"/>
      <c r="Z45" s="2247"/>
      <c r="AA45" s="2247"/>
      <c r="AB45" s="2248"/>
      <c r="AC45" s="2246"/>
      <c r="AD45" s="2247"/>
      <c r="AE45" s="2247"/>
      <c r="AF45" s="2247"/>
      <c r="AG45" s="2247"/>
      <c r="AH45" s="2247"/>
      <c r="AI45" s="2247"/>
      <c r="AJ45" s="2248"/>
      <c r="AK45" s="1308" t="s">
        <v>518</v>
      </c>
      <c r="AM45" s="501"/>
      <c r="AN45" s="501" t="str">
        <f>IF(T45="","",T45)</f>
        <v>Группа потребителей</v>
      </c>
      <c r="AO45" s="501"/>
      <c r="AP45" s="501"/>
      <c r="AQ45" s="1156">
        <v>23</v>
      </c>
    </row>
    <row customHeight="1" ht="24">
      <c r="A46" s="1364" t="s">
        <v>269</v>
      </c>
      <c r="B46" s="1364" t="s">
        <v>270</v>
      </c>
      <c r="C46" s="1364" t="s">
        <v>271</v>
      </c>
      <c r="D46" s="1364" t="s">
        <v>530</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64</v>
      </c>
      <c r="AA46" s="2266"/>
      <c r="AB46" s="2108" t="s">
        <v>64</v>
      </c>
      <c r="AC46" s="752"/>
      <c r="AD46" s="752"/>
      <c r="AE46" s="1258"/>
      <c r="AF46" s="2266"/>
      <c r="AG46" s="2108" t="s">
        <v>64</v>
      </c>
      <c r="AH46" s="2288"/>
      <c r="AI46" s="2108" t="s">
        <v>64</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269</v>
      </c>
      <c r="B47" s="1364" t="s">
        <v>270</v>
      </c>
      <c r="C47" s="1364" t="s">
        <v>271</v>
      </c>
      <c r="D47" s="1364" t="s">
        <v>530</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269</v>
      </c>
      <c r="B48" s="1364" t="s">
        <v>270</v>
      </c>
      <c r="C48" s="1364" t="s">
        <v>271</v>
      </c>
      <c r="D48" s="1364" t="s">
        <v>530</v>
      </c>
      <c r="E48" s="2260"/>
      <c r="F48" s="2260"/>
      <c r="G48" s="2260"/>
      <c r="H48" s="2260"/>
      <c r="I48" s="2287"/>
      <c r="J48" s="2257"/>
      <c r="K48" s="1364"/>
      <c r="L48" s="1365"/>
      <c r="P48" s="2258"/>
      <c r="Q48" s="2258"/>
      <c r="R48" s="357"/>
      <c r="S48" s="1279"/>
      <c r="T48" s="288" t="s">
        <v>519</v>
      </c>
      <c r="U48" s="368"/>
      <c r="V48" s="368"/>
      <c r="W48" s="368"/>
      <c r="X48" s="368"/>
      <c r="Y48" s="368"/>
      <c r="Z48" s="368"/>
      <c r="AA48" s="368"/>
      <c r="AB48" s="368"/>
      <c r="AC48" s="368"/>
      <c r="AD48" s="368"/>
      <c r="AE48" s="368"/>
      <c r="AF48" s="368"/>
      <c r="AG48" s="368"/>
      <c r="AH48" s="368"/>
      <c r="AI48" s="368"/>
      <c r="AJ48" s="368"/>
      <c r="AK48" s="1259" t="s">
        <v>520</v>
      </c>
      <c r="AM48" s="501"/>
      <c r="AN48" s="501" t="str">
        <f>IF(T48="","",T48)</f>
        <v>Добавить значение признака дифференциации</v>
      </c>
      <c r="AO48" s="501"/>
      <c r="AP48" s="501"/>
      <c r="AQ48" s="1156">
        <v>20</v>
      </c>
    </row>
    <row customHeight="1" ht="22.049999999999997">
      <c r="A49" s="1364" t="s">
        <v>269</v>
      </c>
      <c r="B49" s="1364" t="s">
        <v>270</v>
      </c>
      <c r="C49" s="1364" t="s">
        <v>271</v>
      </c>
      <c r="D49" s="1364" t="s">
        <v>530</v>
      </c>
      <c r="E49" s="2260"/>
      <c r="F49" s="2260"/>
      <c r="G49" s="2260"/>
      <c r="H49" s="2260"/>
      <c r="I49" s="2257"/>
      <c r="J49" s="1364"/>
      <c r="K49" s="1364"/>
      <c r="L49" s="1365"/>
      <c r="P49" s="2258"/>
      <c r="Q49" s="1451"/>
      <c r="R49" s="357"/>
      <c r="S49" s="1279"/>
      <c r="T49" s="366" t="s">
        <v>445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269</v>
      </c>
      <c r="B50" s="1364" t="s">
        <v>270</v>
      </c>
      <c r="C50" s="1364" t="s">
        <v>271</v>
      </c>
      <c r="D50" s="1364" t="s">
        <v>530</v>
      </c>
      <c r="E50" s="2260"/>
      <c r="F50" s="2260"/>
      <c r="G50" s="2260"/>
      <c r="H50" s="2259"/>
      <c r="I50" s="1364"/>
      <c r="J50" s="1364"/>
      <c r="K50" s="1364"/>
      <c r="L50" s="1365"/>
      <c r="M50" s="1366"/>
      <c r="N50" s="1366"/>
      <c r="O50" s="538"/>
      <c r="P50" s="361"/>
      <c r="Q50" s="376"/>
      <c r="R50" s="356"/>
      <c r="S50" s="1279"/>
      <c r="T50" s="373" t="s">
        <v>521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269</v>
      </c>
      <c r="B51" s="1344" t="s">
        <v>270</v>
      </c>
      <c r="C51" s="1315"/>
      <c r="D51" s="1315"/>
      <c r="E51" s="2260"/>
      <c r="F51" s="2259"/>
      <c r="G51" s="1315"/>
      <c r="H51" s="1315"/>
      <c r="I51" s="1315"/>
      <c r="J51" s="1315"/>
      <c r="K51" s="1315"/>
      <c r="L51" s="1459"/>
      <c r="M51" s="1322"/>
      <c r="N51" s="1322"/>
      <c r="P51" s="1317"/>
      <c r="Q51" s="1318"/>
      <c r="R51" s="1317"/>
      <c r="S51" s="1323"/>
      <c r="T51" s="1326" t="s">
        <v>219</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269</v>
      </c>
      <c r="B52" s="1344"/>
      <c r="C52" s="1344"/>
      <c r="D52" s="1344"/>
      <c r="E52" s="2259"/>
      <c r="F52" s="1344"/>
      <c r="G52" s="1344"/>
      <c r="H52" s="1344"/>
      <c r="I52" s="1344"/>
      <c r="J52" s="1344"/>
      <c r="K52" s="1344"/>
      <c r="L52" s="1347"/>
      <c r="M52" s="1322"/>
      <c r="N52" s="1322"/>
      <c r="O52" s="519"/>
      <c r="P52" s="381"/>
      <c r="Q52" s="1345"/>
      <c r="R52" s="381"/>
      <c r="S52" s="1323"/>
      <c r="T52" s="1326" t="s">
        <v>227</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236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85</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1E5C18-1938-4F18-EEAB-C466F860462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137</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430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431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514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515</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516</v>
      </c>
      <c r="U5" s="301"/>
      <c r="V5" s="2351"/>
      <c r="W5" s="2352"/>
      <c r="X5" s="2352"/>
      <c r="Y5" s="2352"/>
      <c r="Z5" s="2352"/>
      <c r="AA5" s="2352"/>
      <c r="AB5" s="2353"/>
      <c r="AC5" s="2354"/>
      <c r="AD5" s="2355"/>
      <c r="AE5" s="2355"/>
      <c r="AF5" s="2355"/>
      <c r="AG5" s="2355"/>
      <c r="AH5" s="2355"/>
      <c r="AI5" s="2355"/>
      <c r="AJ5" s="2356"/>
      <c r="AK5" s="1259" t="s">
        <v>517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439</v>
      </c>
      <c r="P6" s="2258"/>
      <c r="Q6" s="2258">
        <v>1</v>
      </c>
      <c r="R6" s="358"/>
      <c r="S6" s="1458">
        <f>$J6</f>
      </c>
      <c r="T6" s="287" t="s">
        <v>440</v>
      </c>
      <c r="U6" s="301"/>
      <c r="V6" s="2246"/>
      <c r="W6" s="2247"/>
      <c r="X6" s="2247"/>
      <c r="Y6" s="2247"/>
      <c r="Z6" s="2247"/>
      <c r="AA6" s="2247"/>
      <c r="AB6" s="2248"/>
      <c r="AC6" s="2246"/>
      <c r="AD6" s="2247"/>
      <c r="AE6" s="2247"/>
      <c r="AF6" s="2247"/>
      <c r="AG6" s="2247"/>
      <c r="AH6" s="2247"/>
      <c r="AI6" s="2247"/>
      <c r="AJ6" s="2248"/>
      <c r="AK6" s="1308" t="s">
        <v>518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64</v>
      </c>
      <c r="AA7" s="2266"/>
      <c r="AB7" s="2108" t="s">
        <v>64</v>
      </c>
      <c r="AC7" s="752"/>
      <c r="AD7" s="752"/>
      <c r="AE7" s="1258"/>
      <c r="AF7" s="2266"/>
      <c r="AG7" s="2108" t="s">
        <v>64</v>
      </c>
      <c r="AH7" s="2288"/>
      <c r="AI7" s="2108" t="s">
        <v>64</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519</v>
      </c>
      <c r="U9" s="368"/>
      <c r="V9" s="368"/>
      <c r="W9" s="368"/>
      <c r="X9" s="368"/>
      <c r="Y9" s="368"/>
      <c r="Z9" s="368"/>
      <c r="AA9" s="368"/>
      <c r="AB9" s="368"/>
      <c r="AC9" s="368"/>
      <c r="AD9" s="368"/>
      <c r="AE9" s="368"/>
      <c r="AF9" s="368"/>
      <c r="AG9" s="368"/>
      <c r="AH9" s="368"/>
      <c r="AI9" s="368"/>
      <c r="AJ9" s="368"/>
      <c r="AK9" s="1259" t="s">
        <v>520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445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521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219</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227</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64</v>
      </c>
      <c r="AH15" s="2268"/>
      <c r="AI15" s="2269" t="s">
        <v>64</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447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448</v>
      </c>
      <c r="P20" s="1363"/>
      <c r="Q20" s="1443"/>
      <c r="R20" s="1443"/>
      <c r="S20" s="730"/>
      <c r="T20" s="1161" t="s">
        <v>449</v>
      </c>
      <c r="Z20" s="187" t="s">
        <v>450</v>
      </c>
      <c r="AB20" s="187" t="s">
        <v>451</v>
      </c>
      <c r="AC20" s="1161" t="s">
        <v>449</v>
      </c>
      <c r="AG20" s="187" t="s">
        <v>452</v>
      </c>
      <c r="AI20" s="187" t="s">
        <v>451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КГУП "Примтеплоэнерго"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Агентство по тарифам Приморского края</v>
      </c>
      <c r="W27" s="2252"/>
      <c r="X27" s="2252"/>
      <c r="Y27" s="2252"/>
      <c r="Z27" s="2252"/>
      <c r="AA27" s="2252"/>
      <c r="AB27" s="327"/>
      <c r="AC27" s="2252" t="str">
        <f>IF(TITLE_NAME_OR_PR_CHANGE="",IF(TITLE_NAME_OR_PR="","",TITLE_NAME_OR_PR),TITLE_NAME_OR_PR_CHANGE)</f>
        <v>Агентство по тарифам Приморского края</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453</v>
      </c>
      <c r="T28" s="2251"/>
      <c r="U28" s="1373"/>
      <c r="V28" s="2265" t="str">
        <f>IF(TITLE_DATE_PR_CHANGE="",IF(TITLE_DATE_PR="","",TITLE_DATE_PR),TITLE_DATE_PR_CHANGE)</f>
        <v>45777.43633101852</v>
      </c>
      <c r="W28" s="2265"/>
      <c r="X28" s="2265"/>
      <c r="Y28" s="2265"/>
      <c r="Z28" s="2265"/>
      <c r="AA28" s="2265"/>
      <c r="AB28" s="327"/>
      <c r="AC28" s="2265" t="str">
        <f>IF(TITLE_DATE_PR_CHANGE="",IF(TITLE_DATE_PR="","",TITLE_DATE_PR),TITLE_DATE_PR_CHANGE)</f>
        <v>45777.43633101852</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454</v>
      </c>
      <c r="T29" s="2251"/>
      <c r="U29" s="1373"/>
      <c r="V29" s="2252" t="str">
        <f>IF(TITLE_NUMBER_PR_CHANGE="",IF(TITLE_NUMBER_PR="","",TITLE_NUMBER_PR),TITLE_NUMBER_PR_CHANGE)</f>
        <v>17-1</v>
      </c>
      <c r="W29" s="2252"/>
      <c r="X29" s="2252"/>
      <c r="Y29" s="2252"/>
      <c r="Z29" s="2252"/>
      <c r="AA29" s="2252"/>
      <c r="AB29" s="327"/>
      <c r="AC29" s="2252" t="str">
        <f>IF(TITLE_NUMBER_PR_CHANGE="",IF(TITLE_NUMBER_PR="","",TITLE_NUMBER_PR),TITLE_NUMBER_PR_CHANGE)</f>
        <v>17-1</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http://pravo.gov.ru</v>
      </c>
      <c r="W30" s="2252"/>
      <c r="X30" s="2252"/>
      <c r="Y30" s="2252"/>
      <c r="Z30" s="2252"/>
      <c r="AA30" s="2252"/>
      <c r="AB30" s="327"/>
      <c r="AC30" s="2252" t="str">
        <f>IF(TITLE_IST_PUB_CHANGE="",IF(TITLE_IST_PUB="","",TITLE_IST_PUB),TITLE_IST_PUB_CHANGE)</f>
        <v>http://pravo.gov.ru</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455</v>
      </c>
      <c r="T32" s="2251"/>
      <c r="U32" s="1373"/>
      <c r="V32" s="2265" t="str">
        <f>IF(TITLE_DATE_PR_CHANGE="",IF(TITLE_DATE_PR="","",TITLE_DATE_PR),TITLE_DATE_PR_CHANGE)</f>
        <v>45777.43633101852</v>
      </c>
      <c r="W32" s="2265"/>
      <c r="X32" s="2265"/>
      <c r="Y32" s="2265"/>
      <c r="Z32" s="2265"/>
      <c r="AA32" s="2265"/>
      <c r="AB32" s="327"/>
      <c r="AC32" s="2265" t="str">
        <f>IF(TITLE_DATE_PR_CHANGE="",IF(TITLE_DATE_PR="","",TITLE_DATE_PR),TITLE_DATE_PR_CHANGE)</f>
        <v>45777.43633101852</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456</v>
      </c>
      <c r="T33" s="2251"/>
      <c r="U33" s="1373"/>
      <c r="V33" s="2252" t="str">
        <f>IF(TITLE_NUMBER_PR_CHANGE="",IF(TITLE_NUMBER_PR="","",TITLE_NUMBER_PR),TITLE_NUMBER_PR_CHANGE)</f>
        <v>17-1</v>
      </c>
      <c r="W33" s="2252"/>
      <c r="X33" s="2252"/>
      <c r="Y33" s="2252"/>
      <c r="Z33" s="2252"/>
      <c r="AA33" s="2252"/>
      <c r="AB33" s="327"/>
      <c r="AC33" s="2252" t="str">
        <f>IF(TITLE_NUMBER_PR_CHANGE="",IF(TITLE_NUMBER_PR="","",TITLE_NUMBER_PR),TITLE_NUMBER_PR_CHANGE)</f>
        <v>17-1</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457</v>
      </c>
      <c r="AC34" s="327"/>
      <c r="AD34" s="327"/>
      <c r="AE34" s="327"/>
      <c r="AF34" s="327"/>
      <c r="AG34" s="327"/>
      <c r="AH34" s="327"/>
      <c r="AI34" s="279" t="s">
        <v>457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333</v>
      </c>
      <c r="T36" s="2128"/>
      <c r="U36" s="2128"/>
      <c r="V36" s="2128"/>
      <c r="W36" s="2128"/>
      <c r="X36" s="2128"/>
      <c r="Y36" s="2128"/>
      <c r="Z36" s="2128"/>
      <c r="AA36" s="2128"/>
      <c r="AB36" s="2128"/>
      <c r="AC36" s="2128"/>
      <c r="AD36" s="2128"/>
      <c r="AE36" s="2128"/>
      <c r="AF36" s="2128"/>
      <c r="AG36" s="2128"/>
      <c r="AH36" s="2128"/>
      <c r="AI36" s="2128"/>
      <c r="AJ36" s="2128"/>
      <c r="AK36" s="2128" t="s">
        <v>334</v>
      </c>
      <c r="AQ36" s="1156">
        <v>14</v>
      </c>
    </row>
    <row customHeight="1" ht="14.699999999999998">
      <c r="Q37" s="377"/>
      <c r="R37" s="377"/>
      <c r="S37" s="2274" t="s">
        <v>91</v>
      </c>
      <c r="T37" s="2210" t="s">
        <v>458</v>
      </c>
      <c r="U37" s="302"/>
      <c r="V37" s="2275" t="s">
        <v>459</v>
      </c>
      <c r="W37" s="2276"/>
      <c r="X37" s="2276"/>
      <c r="Y37" s="2276"/>
      <c r="Z37" s="2276"/>
      <c r="AA37" s="2277"/>
      <c r="AB37" s="2278" t="s">
        <v>460</v>
      </c>
      <c r="AC37" s="2275" t="s">
        <v>459</v>
      </c>
      <c r="AD37" s="2276"/>
      <c r="AE37" s="2276"/>
      <c r="AF37" s="2276"/>
      <c r="AG37" s="2276"/>
      <c r="AH37" s="2277"/>
      <c r="AI37" s="2278" t="s">
        <v>461</v>
      </c>
      <c r="AJ37" s="2281" t="s">
        <v>462</v>
      </c>
      <c r="AK37" s="2128"/>
      <c r="AQ37" s="1156">
        <v>14</v>
      </c>
    </row>
    <row customHeight="1" ht="35.699999999999996">
      <c r="Q38" s="377"/>
      <c r="R38" s="377"/>
      <c r="S38" s="2274"/>
      <c r="T38" s="2210"/>
      <c r="U38" s="1032"/>
      <c r="V38" s="1453" t="s">
        <v>522</v>
      </c>
      <c r="W38" s="2263" t="s">
        <v>465</v>
      </c>
      <c r="X38" s="2264"/>
      <c r="Y38" s="2263" t="s">
        <v>466</v>
      </c>
      <c r="Z38" s="2270"/>
      <c r="AA38" s="2264"/>
      <c r="AB38" s="2279"/>
      <c r="AC38" s="1453" t="s">
        <v>522</v>
      </c>
      <c r="AD38" s="2263" t="s">
        <v>465</v>
      </c>
      <c r="AE38" s="2264"/>
      <c r="AF38" s="2263" t="s">
        <v>466</v>
      </c>
      <c r="AG38" s="2270"/>
      <c r="AH38" s="2264"/>
      <c r="AI38" s="2279"/>
      <c r="AJ38" s="2282"/>
      <c r="AK38" s="2128"/>
      <c r="AQ38" s="1156">
        <v>34</v>
      </c>
    </row>
    <row customHeight="1" ht="35.699999999999996">
      <c r="A39" s="1371"/>
      <c r="B39" s="1371" t="s">
        <v>149</v>
      </c>
      <c r="C39" s="1371" t="s">
        <v>150</v>
      </c>
      <c r="D39" s="1371" t="s">
        <v>151</v>
      </c>
      <c r="E39" s="1365" t="s">
        <v>467</v>
      </c>
      <c r="F39" s="1365" t="s">
        <v>468</v>
      </c>
      <c r="G39" s="1365" t="s">
        <v>469</v>
      </c>
      <c r="H39" s="1365"/>
      <c r="I39" s="1365" t="s">
        <v>523</v>
      </c>
      <c r="J39" s="1365" t="s">
        <v>472</v>
      </c>
      <c r="K39" s="1365" t="s">
        <v>524</v>
      </c>
      <c r="L39" s="1365" t="s">
        <v>448</v>
      </c>
      <c r="Q39" s="377"/>
      <c r="R39" s="377"/>
      <c r="S39" s="2274"/>
      <c r="T39" s="2210"/>
      <c r="U39" s="303"/>
      <c r="V39" s="1453" t="s">
        <v>525</v>
      </c>
      <c r="W39" s="1223" t="s">
        <v>526</v>
      </c>
      <c r="X39" s="1223" t="s">
        <v>527</v>
      </c>
      <c r="Y39" s="1456" t="s">
        <v>476</v>
      </c>
      <c r="Z39" s="2271" t="s">
        <v>477</v>
      </c>
      <c r="AA39" s="2272"/>
      <c r="AB39" s="2280"/>
      <c r="AC39" s="1453" t="s">
        <v>525</v>
      </c>
      <c r="AD39" s="1223" t="s">
        <v>526</v>
      </c>
      <c r="AE39" s="1223" t="s">
        <v>527</v>
      </c>
      <c r="AF39" s="1456" t="s">
        <v>476</v>
      </c>
      <c r="AG39" s="2271" t="s">
        <v>477</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124</v>
      </c>
      <c r="T40" s="1256" t="s">
        <v>107</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274</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137</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274</v>
      </c>
      <c r="B42" s="1364" t="s">
        <v>275</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430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431</v>
      </c>
      <c r="AM42" s="501"/>
      <c r="AN42" s="501" t="str">
        <f>IF(T42="","",T42)</f>
        <v>Территория действия тарифа</v>
      </c>
      <c r="AO42" s="501"/>
      <c r="AP42" s="501"/>
      <c r="AQ42" s="1156">
        <v>23</v>
      </c>
    </row>
    <row customHeight="1" ht="24">
      <c r="A43" s="1364" t="s">
        <v>274</v>
      </c>
      <c r="B43" s="1364" t="s">
        <v>275</v>
      </c>
      <c r="C43" s="1364" t="s">
        <v>276</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514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515</v>
      </c>
      <c r="AM43" s="501"/>
      <c r="AN43" s="501" t="str">
        <f>IF(T43="","",T43)</f>
        <v>Наименование централизованной системы холодного водоснабжения</v>
      </c>
      <c r="AO43" s="501"/>
      <c r="AP43" s="501"/>
      <c r="AQ43" s="1156">
        <v>23</v>
      </c>
    </row>
    <row customHeight="1" ht="24">
      <c r="A44" s="1364" t="s">
        <v>274</v>
      </c>
      <c r="B44" s="1364" t="s">
        <v>275</v>
      </c>
      <c r="C44" s="1364" t="s">
        <v>276</v>
      </c>
      <c r="D44" s="1364" t="s">
        <v>531</v>
      </c>
      <c r="E44" s="2260"/>
      <c r="F44" s="2260"/>
      <c r="G44" s="2260"/>
      <c r="H44" s="2260"/>
      <c r="I44" s="2257" t="str">
        <f>S43&amp;".1"</f>
        <v>...1</v>
      </c>
      <c r="J44" s="1364"/>
      <c r="K44" s="1364"/>
      <c r="L44" s="1365"/>
      <c r="P44" s="2258">
        <v>1</v>
      </c>
      <c r="Q44" s="1451"/>
      <c r="R44" s="357"/>
      <c r="S44" s="1458" t="str">
        <f>$I44</f>
        <v>...1</v>
      </c>
      <c r="T44" s="286" t="s">
        <v>516</v>
      </c>
      <c r="U44" s="301"/>
      <c r="V44" s="2351"/>
      <c r="W44" s="2352"/>
      <c r="X44" s="2352"/>
      <c r="Y44" s="2352"/>
      <c r="Z44" s="2352"/>
      <c r="AA44" s="2352"/>
      <c r="AB44" s="2353"/>
      <c r="AC44" s="2354"/>
      <c r="AD44" s="2355"/>
      <c r="AE44" s="2355"/>
      <c r="AF44" s="2355"/>
      <c r="AG44" s="2355"/>
      <c r="AH44" s="2355"/>
      <c r="AI44" s="2355"/>
      <c r="AJ44" s="2356"/>
      <c r="AK44" s="1259" t="s">
        <v>517</v>
      </c>
      <c r="AM44" s="501"/>
      <c r="AN44" s="501" t="str">
        <f>IF(T44="","",T44)</f>
        <v>Наименование признака дифференциации</v>
      </c>
      <c r="AO44" s="501"/>
      <c r="AP44" s="501"/>
      <c r="AQ44" s="1156">
        <v>23</v>
      </c>
    </row>
    <row customHeight="1" ht="24">
      <c r="A45" s="1364" t="s">
        <v>274</v>
      </c>
      <c r="B45" s="1364" t="s">
        <v>275</v>
      </c>
      <c r="C45" s="1364" t="s">
        <v>276</v>
      </c>
      <c r="D45" s="1364" t="s">
        <v>531</v>
      </c>
      <c r="E45" s="2260"/>
      <c r="F45" s="2260"/>
      <c r="G45" s="2260"/>
      <c r="H45" s="2260"/>
      <c r="I45" s="2287"/>
      <c r="J45" s="2257" t="str">
        <f>I44&amp;".1"</f>
        <v>...1.1</v>
      </c>
      <c r="K45" s="1364"/>
      <c r="L45" s="1365" t="s">
        <v>439</v>
      </c>
      <c r="P45" s="2258"/>
      <c r="Q45" s="2258">
        <v>1</v>
      </c>
      <c r="R45" s="358"/>
      <c r="S45" s="1458" t="str">
        <f>$J45</f>
        <v>...1.1</v>
      </c>
      <c r="T45" s="287" t="s">
        <v>440</v>
      </c>
      <c r="U45" s="301"/>
      <c r="V45" s="2246"/>
      <c r="W45" s="2247"/>
      <c r="X45" s="2247"/>
      <c r="Y45" s="2247"/>
      <c r="Z45" s="2247"/>
      <c r="AA45" s="2247"/>
      <c r="AB45" s="2248"/>
      <c r="AC45" s="2246"/>
      <c r="AD45" s="2247"/>
      <c r="AE45" s="2247"/>
      <c r="AF45" s="2247"/>
      <c r="AG45" s="2247"/>
      <c r="AH45" s="2247"/>
      <c r="AI45" s="2247"/>
      <c r="AJ45" s="2248"/>
      <c r="AK45" s="1308" t="s">
        <v>518</v>
      </c>
      <c r="AM45" s="501"/>
      <c r="AN45" s="501" t="str">
        <f>IF(T45="","",T45)</f>
        <v>Группа потребителей</v>
      </c>
      <c r="AO45" s="501"/>
      <c r="AP45" s="501"/>
      <c r="AQ45" s="1156">
        <v>23</v>
      </c>
    </row>
    <row customHeight="1" ht="24">
      <c r="A46" s="1364" t="s">
        <v>274</v>
      </c>
      <c r="B46" s="1364" t="s">
        <v>275</v>
      </c>
      <c r="C46" s="1364" t="s">
        <v>276</v>
      </c>
      <c r="D46" s="1364" t="s">
        <v>531</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64</v>
      </c>
      <c r="AA46" s="2266"/>
      <c r="AB46" s="2108" t="s">
        <v>64</v>
      </c>
      <c r="AC46" s="752"/>
      <c r="AD46" s="752"/>
      <c r="AE46" s="1258"/>
      <c r="AF46" s="2266"/>
      <c r="AG46" s="2108" t="s">
        <v>64</v>
      </c>
      <c r="AH46" s="2288"/>
      <c r="AI46" s="2108" t="s">
        <v>64</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274</v>
      </c>
      <c r="B47" s="1364" t="s">
        <v>275</v>
      </c>
      <c r="C47" s="1364" t="s">
        <v>276</v>
      </c>
      <c r="D47" s="1364" t="s">
        <v>531</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274</v>
      </c>
      <c r="B48" s="1364" t="s">
        <v>275</v>
      </c>
      <c r="C48" s="1364" t="s">
        <v>276</v>
      </c>
      <c r="D48" s="1364" t="s">
        <v>531</v>
      </c>
      <c r="E48" s="2260"/>
      <c r="F48" s="2260"/>
      <c r="G48" s="2260"/>
      <c r="H48" s="2260"/>
      <c r="I48" s="2287"/>
      <c r="J48" s="2257"/>
      <c r="K48" s="1364"/>
      <c r="L48" s="1365"/>
      <c r="P48" s="2258"/>
      <c r="Q48" s="2258"/>
      <c r="R48" s="357"/>
      <c r="S48" s="1279"/>
      <c r="T48" s="288" t="s">
        <v>519</v>
      </c>
      <c r="U48" s="368"/>
      <c r="V48" s="368"/>
      <c r="W48" s="368"/>
      <c r="X48" s="368"/>
      <c r="Y48" s="368"/>
      <c r="Z48" s="368"/>
      <c r="AA48" s="368"/>
      <c r="AB48" s="368"/>
      <c r="AC48" s="368"/>
      <c r="AD48" s="368"/>
      <c r="AE48" s="368"/>
      <c r="AF48" s="368"/>
      <c r="AG48" s="368"/>
      <c r="AH48" s="368"/>
      <c r="AI48" s="368"/>
      <c r="AJ48" s="368"/>
      <c r="AK48" s="1259" t="s">
        <v>520</v>
      </c>
      <c r="AM48" s="501"/>
      <c r="AN48" s="501" t="str">
        <f>IF(T48="","",T48)</f>
        <v>Добавить значение признака дифференциации</v>
      </c>
      <c r="AO48" s="501"/>
      <c r="AP48" s="501"/>
      <c r="AQ48" s="1156">
        <v>20</v>
      </c>
    </row>
    <row customHeight="1" ht="22.049999999999997">
      <c r="A49" s="1364" t="s">
        <v>274</v>
      </c>
      <c r="B49" s="1364" t="s">
        <v>275</v>
      </c>
      <c r="C49" s="1364" t="s">
        <v>276</v>
      </c>
      <c r="D49" s="1364" t="s">
        <v>531</v>
      </c>
      <c r="E49" s="2260"/>
      <c r="F49" s="2260"/>
      <c r="G49" s="2260"/>
      <c r="H49" s="2260"/>
      <c r="I49" s="2257"/>
      <c r="J49" s="1364"/>
      <c r="K49" s="1364"/>
      <c r="L49" s="1365"/>
      <c r="P49" s="2258"/>
      <c r="Q49" s="1451"/>
      <c r="R49" s="357"/>
      <c r="S49" s="1279"/>
      <c r="T49" s="366" t="s">
        <v>445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274</v>
      </c>
      <c r="B50" s="1364" t="s">
        <v>275</v>
      </c>
      <c r="C50" s="1364" t="s">
        <v>276</v>
      </c>
      <c r="D50" s="1364" t="s">
        <v>531</v>
      </c>
      <c r="E50" s="2260"/>
      <c r="F50" s="2260"/>
      <c r="G50" s="2260"/>
      <c r="H50" s="2259"/>
      <c r="I50" s="1364"/>
      <c r="J50" s="1364"/>
      <c r="K50" s="1364"/>
      <c r="L50" s="1365"/>
      <c r="M50" s="1366"/>
      <c r="N50" s="1366"/>
      <c r="O50" s="538"/>
      <c r="P50" s="361"/>
      <c r="Q50" s="376"/>
      <c r="R50" s="356"/>
      <c r="S50" s="1279"/>
      <c r="T50" s="373" t="s">
        <v>521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274</v>
      </c>
      <c r="B51" s="1344" t="s">
        <v>275</v>
      </c>
      <c r="C51" s="1315"/>
      <c r="D51" s="1315"/>
      <c r="E51" s="2260"/>
      <c r="F51" s="2259"/>
      <c r="G51" s="1315"/>
      <c r="H51" s="1315"/>
      <c r="I51" s="1315"/>
      <c r="J51" s="1315"/>
      <c r="K51" s="1315"/>
      <c r="L51" s="1459"/>
      <c r="M51" s="1322"/>
      <c r="N51" s="1322"/>
      <c r="P51" s="1317"/>
      <c r="Q51" s="1318"/>
      <c r="R51" s="1317"/>
      <c r="S51" s="1323"/>
      <c r="T51" s="1326" t="s">
        <v>219</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274</v>
      </c>
      <c r="B52" s="1344"/>
      <c r="C52" s="1344"/>
      <c r="D52" s="1344"/>
      <c r="E52" s="2259"/>
      <c r="F52" s="1344"/>
      <c r="G52" s="1344"/>
      <c r="H52" s="1344"/>
      <c r="I52" s="1344"/>
      <c r="J52" s="1344"/>
      <c r="K52" s="1344"/>
      <c r="L52" s="1347"/>
      <c r="M52" s="1322"/>
      <c r="N52" s="1322"/>
      <c r="O52" s="519"/>
      <c r="P52" s="381"/>
      <c r="Q52" s="1345"/>
      <c r="R52" s="381"/>
      <c r="S52" s="1323"/>
      <c r="T52" s="1326" t="s">
        <v>227</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236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85</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0744B6-F248-DB78-77F8-CD372113550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137</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429</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430</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431</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432</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433</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434</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435</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436</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64</v>
      </c>
      <c r="Z8" s="1993"/>
      <c r="AA8" s="1991" t="s">
        <v>64</v>
      </c>
      <c r="AB8" s="1997"/>
      <c r="AC8" s="1998" t="s">
        <v>28</v>
      </c>
      <c r="AD8" s="752"/>
      <c r="AE8" s="1258"/>
      <c r="AF8" s="1956"/>
      <c r="AG8" s="1943" t="s">
        <v>64</v>
      </c>
      <c r="AH8" s="1956"/>
      <c r="AI8" s="1943" t="s">
        <v>64</v>
      </c>
      <c r="AJ8" s="1349"/>
      <c r="AK8" s="2254" t="s">
        <v>493</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497</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218</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219</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227</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64</v>
      </c>
      <c r="AH16" s="1737"/>
      <c r="AI16" s="1967" t="s">
        <v>64</v>
      </c>
      <c r="AQ16" s="1632">
        <v>0</v>
      </c>
    </row>
    <row customHeight="1" ht="14.25" hidden="1">
      <c r="AL17" s="1642"/>
      <c r="AM17" s="1642"/>
      <c r="AN17" s="1642"/>
      <c r="AO17" s="1642"/>
      <c r="AP17" s="1642"/>
      <c r="AQ17" s="1632">
        <v>0</v>
      </c>
    </row>
    <row customHeight="1" ht="14.25" hidden="1">
      <c r="O18" s="1346" t="s">
        <v>447</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448</v>
      </c>
      <c r="P20" s="1509"/>
      <c r="Q20" s="1511"/>
      <c r="R20" s="1511"/>
      <c r="Y20" s="1508" t="s">
        <v>450</v>
      </c>
      <c r="AA20" s="1508" t="s">
        <v>451</v>
      </c>
      <c r="AC20" s="1508" t="s">
        <v>499</v>
      </c>
      <c r="AG20" s="1508" t="s">
        <v>450</v>
      </c>
      <c r="AI20" s="1508" t="s">
        <v>451</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КГУП "Примтеплоэнерго"</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Агентство по тарифам Приморского края</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453</v>
      </c>
      <c r="T28" s="2251"/>
      <c r="U28" s="1373"/>
      <c r="V28" s="2265" t="str">
        <f>IF(TITLE_DATE_PR_CHANGE="",IF(TITLE_DATE_PR="","",TITLE_DATE_PR),TITLE_DATE_PR_CHANGE)</f>
        <v>45777.43633101852</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454</v>
      </c>
      <c r="T29" s="2251"/>
      <c r="U29" s="1373"/>
      <c r="V29" s="2252" t="str">
        <f>IF(TITLE_NUMBER_PR_CHANGE="",IF(TITLE_NUMBER_PR="","",TITLE_NUMBER_PR),TITLE_NUMBER_PR_CHANGE)</f>
        <v>17-1</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44</v>
      </c>
      <c r="T30" s="2251"/>
      <c r="U30" s="1373"/>
      <c r="V30" s="2252" t="str">
        <f>IF(TITLE_IST_PUB_CHANGE="",IF(TITLE_IST_PUB="","",TITLE_IST_PUB),TITLE_IST_PUB_CHANGE)</f>
        <v>http://pravo.gov.ru</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453</v>
      </c>
      <c r="T32" s="2251"/>
      <c r="U32" s="1373"/>
      <c r="V32" s="2265" t="str">
        <f>IF(TITLE_DATE_PR_CHANGE="",IF(TITLE_DATE_PR="","",TITLE_DATE_PR),TITLE_DATE_PR_CHANGE)</f>
        <v>45777.43633101852</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454</v>
      </c>
      <c r="T33" s="2251"/>
      <c r="U33" s="1373"/>
      <c r="V33" s="2252" t="str">
        <f>IF(TITLE_NUMBER_PR_CHANGE="",IF(TITLE_NUMBER_PR="","",TITLE_NUMBER_PR),TITLE_NUMBER_PR_CHANGE)</f>
        <v>17-1</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457</v>
      </c>
      <c r="AB34" s="1643"/>
      <c r="AC34" s="1636"/>
      <c r="AD34" s="1636"/>
      <c r="AE34" s="1636"/>
      <c r="AF34" s="1636"/>
      <c r="AG34" s="1636"/>
      <c r="AH34" s="1636"/>
      <c r="AI34" s="1643" t="s">
        <v>457</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333</v>
      </c>
      <c r="T36" s="2128"/>
      <c r="U36" s="2128"/>
      <c r="V36" s="2128"/>
      <c r="W36" s="2128"/>
      <c r="X36" s="2128"/>
      <c r="Y36" s="2128"/>
      <c r="Z36" s="2128"/>
      <c r="AA36" s="2176"/>
      <c r="AB36" s="2176"/>
      <c r="AC36" s="2176"/>
      <c r="AD36" s="2128"/>
      <c r="AE36" s="2128"/>
      <c r="AF36" s="2128"/>
      <c r="AG36" s="2128"/>
      <c r="AH36" s="2128"/>
      <c r="AI36" s="2128"/>
      <c r="AJ36" s="2128"/>
      <c r="AK36" s="2128" t="s">
        <v>334</v>
      </c>
      <c r="AQ36" s="1632">
        <v>14</v>
      </c>
    </row>
    <row customHeight="1" ht="14.699999999999998">
      <c r="Q37" s="292"/>
      <c r="R37" s="377"/>
      <c r="S37" s="2274" t="s">
        <v>91</v>
      </c>
      <c r="T37" s="2210" t="s">
        <v>532</v>
      </c>
      <c r="U37" s="338"/>
      <c r="V37" s="2276"/>
      <c r="W37" s="2276"/>
      <c r="X37" s="2276"/>
      <c r="Y37" s="2276"/>
      <c r="Z37" s="2276"/>
      <c r="AA37" s="2210" t="s">
        <v>460</v>
      </c>
      <c r="AB37" s="2209" t="s">
        <v>533</v>
      </c>
      <c r="AC37" s="2209" t="s">
        <v>503</v>
      </c>
      <c r="AD37" s="2292" t="s">
        <v>459</v>
      </c>
      <c r="AE37" s="2292"/>
      <c r="AF37" s="2276"/>
      <c r="AG37" s="2276"/>
      <c r="AH37" s="2277"/>
      <c r="AI37" s="2278" t="s">
        <v>460</v>
      </c>
      <c r="AJ37" s="2281" t="s">
        <v>462</v>
      </c>
      <c r="AK37" s="2128"/>
      <c r="AQ37" s="1632">
        <v>14</v>
      </c>
    </row>
    <row customHeight="1" ht="35.699999999999996">
      <c r="Q38" s="292"/>
      <c r="R38" s="377"/>
      <c r="S38" s="2274"/>
      <c r="T38" s="2210"/>
      <c r="U38" s="1032"/>
      <c r="V38" s="2104" t="s">
        <v>506</v>
      </c>
      <c r="W38" s="2128"/>
      <c r="X38" s="2295" t="s">
        <v>466</v>
      </c>
      <c r="Y38" s="2314"/>
      <c r="Z38" s="2314"/>
      <c r="AA38" s="2210"/>
      <c r="AB38" s="2209"/>
      <c r="AC38" s="2209"/>
      <c r="AD38" s="2104" t="s">
        <v>506</v>
      </c>
      <c r="AE38" s="2128"/>
      <c r="AF38" s="2314" t="s">
        <v>466</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149</v>
      </c>
      <c r="C40" s="1267" t="s">
        <v>150</v>
      </c>
      <c r="D40" s="1267" t="s">
        <v>151</v>
      </c>
      <c r="E40" s="1311" t="s">
        <v>467</v>
      </c>
      <c r="F40" s="1311" t="s">
        <v>468</v>
      </c>
      <c r="G40" s="1311" t="s">
        <v>469</v>
      </c>
      <c r="H40" s="1311" t="s">
        <v>470</v>
      </c>
      <c r="I40" s="1311" t="s">
        <v>471</v>
      </c>
      <c r="J40" s="1311" t="s">
        <v>472</v>
      </c>
      <c r="K40" s="1311" t="s">
        <v>473</v>
      </c>
      <c r="L40" s="1311" t="s">
        <v>448</v>
      </c>
      <c r="Q40" s="292"/>
      <c r="R40" s="377"/>
      <c r="S40" s="2274"/>
      <c r="T40" s="2210"/>
      <c r="U40" s="303"/>
      <c r="V40" s="1951" t="s">
        <v>508</v>
      </c>
      <c r="W40" s="1951" t="s">
        <v>509</v>
      </c>
      <c r="X40" s="1939" t="s">
        <v>476</v>
      </c>
      <c r="Y40" s="2271" t="s">
        <v>477</v>
      </c>
      <c r="Z40" s="2321"/>
      <c r="AA40" s="2210"/>
      <c r="AB40" s="2209"/>
      <c r="AC40" s="2209"/>
      <c r="AD40" s="1969" t="s">
        <v>508</v>
      </c>
      <c r="AE40" s="1960" t="s">
        <v>509</v>
      </c>
      <c r="AF40" s="1939" t="s">
        <v>476</v>
      </c>
      <c r="AG40" s="2271" t="s">
        <v>477</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124</v>
      </c>
      <c r="T41" s="1256" t="s">
        <v>107</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239</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137</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25"/>
      <c r="AN42" s="1625" t="str">
        <f>IF(T42="","",T42)</f>
        <v>Наименование тарифа</v>
      </c>
      <c r="AO42" s="1625"/>
      <c r="AP42" s="1625"/>
      <c r="AQ42" s="1632">
        <v>102</v>
      </c>
    </row>
    <row customHeight="1" ht="22.049999999999997">
      <c r="A43" s="1268" t="s">
        <v>239</v>
      </c>
      <c r="B43" s="1268" t="s">
        <v>240</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430</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431</v>
      </c>
      <c r="AM43" s="1625"/>
      <c r="AN43" s="1625" t="str">
        <f>IF(T43="","",T43)</f>
        <v>Территория действия тарифа</v>
      </c>
      <c r="AO43" s="1625"/>
      <c r="AP43" s="1625"/>
      <c r="AQ43" s="1632">
        <v>21</v>
      </c>
    </row>
    <row customHeight="1" ht="24">
      <c r="A44" s="1268" t="s">
        <v>239</v>
      </c>
      <c r="B44" s="1268" t="s">
        <v>240</v>
      </c>
      <c r="C44" s="1268" t="s">
        <v>241</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432</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433</v>
      </c>
      <c r="AM44" s="1625"/>
      <c r="AN44" s="1625" t="str">
        <f>IF(T44="","",T44)</f>
        <v>Наименование системы теплоснабжения </v>
      </c>
      <c r="AO44" s="1625"/>
      <c r="AP44" s="1625"/>
      <c r="AQ44" s="1632">
        <v>23</v>
      </c>
    </row>
    <row customHeight="1" ht="22.049999999999997">
      <c r="A45" s="1268" t="s">
        <v>239</v>
      </c>
      <c r="B45" s="1268" t="s">
        <v>240</v>
      </c>
      <c r="C45" s="1268" t="s">
        <v>241</v>
      </c>
      <c r="D45" s="1268" t="s">
        <v>242</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434</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435</v>
      </c>
      <c r="AM45" s="1625"/>
      <c r="AN45" s="1625" t="str">
        <f>IF(T45="","",T45)</f>
        <v>Источник тепловой энергии  </v>
      </c>
      <c r="AO45" s="1625"/>
      <c r="AP45" s="1625"/>
      <c r="AQ45" s="1632">
        <v>21</v>
      </c>
    </row>
    <row s="1643" customFormat="1" customHeight="1" ht="0">
      <c r="A46" s="1376" t="s">
        <v>239</v>
      </c>
      <c r="B46" s="1376" t="s">
        <v>240</v>
      </c>
      <c r="C46" s="1376" t="s">
        <v>241</v>
      </c>
      <c r="D46" s="1376" t="s">
        <v>242</v>
      </c>
      <c r="E46" s="2291"/>
      <c r="F46" s="2291"/>
      <c r="G46" s="2291"/>
      <c r="H46" s="2291"/>
      <c r="I46" s="2128" t="str">
        <f>S45&amp;".1"</f>
        <v>....1</v>
      </c>
      <c r="J46" s="1376"/>
      <c r="K46" s="1376"/>
      <c r="L46" s="1382" t="s">
        <v>436</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239</v>
      </c>
      <c r="B47" s="1376" t="s">
        <v>240</v>
      </c>
      <c r="C47" s="1376" t="s">
        <v>241</v>
      </c>
      <c r="D47" s="1376" t="s">
        <v>242</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239</v>
      </c>
      <c r="B48" s="1268" t="s">
        <v>240</v>
      </c>
      <c r="C48" s="1268" t="s">
        <v>241</v>
      </c>
      <c r="D48" s="1268" t="s">
        <v>242</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64</v>
      </c>
      <c r="Z48" s="1956"/>
      <c r="AA48" s="1943" t="s">
        <v>64</v>
      </c>
      <c r="AB48" s="1965"/>
      <c r="AC48" s="1964" t="s">
        <v>28</v>
      </c>
      <c r="AD48" s="752"/>
      <c r="AE48" s="1258"/>
      <c r="AF48" s="1956"/>
      <c r="AG48" s="1943" t="s">
        <v>64</v>
      </c>
      <c r="AH48" s="1956"/>
      <c r="AI48" s="1943" t="s">
        <v>64</v>
      </c>
      <c r="AJ48" s="1349"/>
      <c r="AK48" s="2254" t="s">
        <v>511</v>
      </c>
      <c r="AL48" s="1637">
        <f>STRCHECKDATE(#REF!)</f>
      </c>
      <c r="AM48" s="1625"/>
      <c r="AN48" s="1625" t="str">
        <f>IF(T48="","",T48)</f>
        <v/>
      </c>
      <c r="AO48" s="1625"/>
      <c r="AP48" s="1625"/>
      <c r="AQ48" s="1632">
        <v>21</v>
      </c>
    </row>
    <row customHeight="1" ht="11.549999999999999">
      <c r="A49" s="1268" t="s">
        <v>239</v>
      </c>
      <c r="B49" s="1268" t="s">
        <v>240</v>
      </c>
      <c r="C49" s="1268" t="s">
        <v>241</v>
      </c>
      <c r="D49" s="1268" t="s">
        <v>242</v>
      </c>
      <c r="E49" s="2291"/>
      <c r="F49" s="2291"/>
      <c r="G49" s="2291"/>
      <c r="H49" s="2291"/>
      <c r="I49" s="2102"/>
      <c r="J49" s="2128"/>
      <c r="K49" s="1268"/>
      <c r="L49" s="1311"/>
      <c r="P49" s="2258"/>
      <c r="Q49" s="2258"/>
      <c r="R49" s="357"/>
      <c r="S49" s="1279"/>
      <c r="T49" s="288" t="s">
        <v>497</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239</v>
      </c>
      <c r="B50" s="1376" t="s">
        <v>240</v>
      </c>
      <c r="C50" s="1376" t="s">
        <v>241</v>
      </c>
      <c r="D50" s="1376" t="s">
        <v>242</v>
      </c>
      <c r="E50" s="2291"/>
      <c r="F50" s="2291"/>
      <c r="G50" s="2291"/>
      <c r="H50" s="2291"/>
      <c r="I50" s="2128"/>
      <c r="J50" s="1376"/>
      <c r="K50" s="1376"/>
      <c r="L50" s="1382"/>
      <c r="M50" s="1247"/>
      <c r="N50" s="1247"/>
      <c r="O50" s="1247"/>
      <c r="P50" s="2258"/>
      <c r="Q50" s="1955"/>
      <c r="R50" s="357"/>
      <c r="S50" s="1387"/>
      <c r="T50" s="1388" t="s">
        <v>445</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239</v>
      </c>
      <c r="B51" s="1376" t="s">
        <v>240</v>
      </c>
      <c r="C51" s="1376" t="s">
        <v>241</v>
      </c>
      <c r="D51" s="1376" t="s">
        <v>242</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239</v>
      </c>
      <c r="B52" s="1376" t="s">
        <v>240</v>
      </c>
      <c r="C52" s="1376" t="s">
        <v>241</v>
      </c>
      <c r="D52" s="1375"/>
      <c r="E52" s="2291"/>
      <c r="F52" s="2291"/>
      <c r="G52" s="2290"/>
      <c r="H52" s="1375"/>
      <c r="I52" s="1375"/>
      <c r="J52" s="1375"/>
      <c r="K52" s="1375"/>
      <c r="L52" s="1378"/>
      <c r="M52" s="1379"/>
      <c r="N52" s="1379"/>
      <c r="O52" s="352"/>
      <c r="P52" s="1317"/>
      <c r="Q52" s="1318"/>
      <c r="R52" s="1317"/>
      <c r="S52" s="1323"/>
      <c r="T52" s="1326" t="s">
        <v>218</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239</v>
      </c>
      <c r="B53" s="1376" t="s">
        <v>240</v>
      </c>
      <c r="C53" s="1375"/>
      <c r="D53" s="1375"/>
      <c r="E53" s="2291"/>
      <c r="F53" s="2290"/>
      <c r="G53" s="1375"/>
      <c r="H53" s="1375"/>
      <c r="I53" s="1375"/>
      <c r="J53" s="1375"/>
      <c r="K53" s="1375"/>
      <c r="L53" s="1378"/>
      <c r="M53" s="1380"/>
      <c r="N53" s="1380"/>
      <c r="O53" s="352"/>
      <c r="P53" s="1317"/>
      <c r="Q53" s="1318"/>
      <c r="R53" s="1317"/>
      <c r="S53" s="1323"/>
      <c r="T53" s="1326" t="s">
        <v>219</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239</v>
      </c>
      <c r="B54" s="1376"/>
      <c r="C54" s="1376"/>
      <c r="D54" s="1376"/>
      <c r="E54" s="2291"/>
      <c r="F54" s="1376"/>
      <c r="G54" s="1376"/>
      <c r="H54" s="1376"/>
      <c r="I54" s="1376"/>
      <c r="J54" s="1376"/>
      <c r="K54" s="1376"/>
      <c r="L54" s="1382"/>
      <c r="M54" s="1380"/>
      <c r="N54" s="1380"/>
      <c r="O54" s="352"/>
      <c r="P54" s="381"/>
      <c r="Q54" s="1345"/>
      <c r="R54" s="381"/>
      <c r="S54" s="1323"/>
      <c r="T54" s="1326" t="s">
        <v>227</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239</v>
      </c>
      <c r="B55" s="1376"/>
      <c r="C55" s="1376"/>
      <c r="D55" s="1376"/>
      <c r="E55" s="2290"/>
      <c r="F55" s="1376"/>
      <c r="G55" s="1376"/>
      <c r="H55" s="1376"/>
      <c r="I55" s="1376"/>
      <c r="J55" s="1376"/>
      <c r="K55" s="1376"/>
      <c r="L55" s="1382"/>
      <c r="M55" s="1380"/>
      <c r="N55" s="1380"/>
      <c r="O55" s="352"/>
      <c r="P55" s="381"/>
      <c r="Q55" s="1345"/>
      <c r="R55" s="381"/>
      <c r="S55" s="1323"/>
      <c r="T55" s="1326" t="s">
        <v>227</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236</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85</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9F8422-40E8-08A1-A3F5-E1412051F77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137</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430</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431</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514</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515</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435</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436</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64</v>
      </c>
      <c r="AB8" s="1735"/>
      <c r="AC8" s="1460" t="s">
        <v>64</v>
      </c>
      <c r="AD8" s="2186" t="s">
        <v>64</v>
      </c>
      <c r="AE8" s="2327"/>
      <c r="AF8" s="2206">
        <v>1</v>
      </c>
      <c r="AG8" s="2364"/>
      <c r="AH8" s="2108" t="s">
        <v>64</v>
      </c>
      <c r="AI8" s="2327"/>
      <c r="AJ8" s="2206">
        <v>1</v>
      </c>
      <c r="AK8" s="2328" t="s">
        <v>28</v>
      </c>
      <c r="AL8" s="2108" t="s">
        <v>64</v>
      </c>
      <c r="AM8" s="2193"/>
      <c r="AN8" s="2206">
        <v>1</v>
      </c>
      <c r="AO8" s="2358"/>
      <c r="AP8" s="2359" t="s">
        <v>64</v>
      </c>
      <c r="AQ8" s="312"/>
      <c r="AR8" s="1464">
        <v>1</v>
      </c>
      <c r="AS8" s="1467" t="s">
        <v>28</v>
      </c>
      <c r="AT8" s="752"/>
      <c r="AU8" s="1258"/>
      <c r="AV8" s="752"/>
      <c r="AW8" s="1258"/>
      <c r="AX8" s="1735"/>
      <c r="AY8" s="1460" t="s">
        <v>64</v>
      </c>
      <c r="AZ8" s="1735"/>
      <c r="BA8" s="1460" t="s">
        <v>64</v>
      </c>
      <c r="BB8" s="1349"/>
      <c r="BC8" s="2254" t="s">
        <v>534</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535</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536</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537</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538</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497</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219</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227</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64</v>
      </c>
      <c r="AZ20" s="1737"/>
      <c r="BA20" s="1461" t="s">
        <v>64</v>
      </c>
      <c r="BI20" s="1156">
        <v>0</v>
      </c>
    </row>
    <row customHeight="1" ht="14.25" hidden="1">
      <c r="BD21" s="497"/>
      <c r="BE21" s="497"/>
      <c r="BF21" s="497"/>
      <c r="BG21" s="497"/>
      <c r="BH21" s="497"/>
      <c r="BI21" s="1156">
        <v>0</v>
      </c>
    </row>
    <row customHeight="1" ht="14.25" hidden="1">
      <c r="O22" s="1368" t="s">
        <v>447</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448</v>
      </c>
      <c r="P24" s="1509"/>
      <c r="Q24" s="1511"/>
      <c r="R24" s="1511"/>
      <c r="AA24" s="1508" t="s">
        <v>450</v>
      </c>
      <c r="AC24" s="1508" t="s">
        <v>451</v>
      </c>
      <c r="AD24" s="1508" t="s">
        <v>498</v>
      </c>
      <c r="AH24" s="1508" t="s">
        <v>498</v>
      </c>
      <c r="AK24" s="1508" t="s">
        <v>539</v>
      </c>
      <c r="AL24" s="1508" t="s">
        <v>498</v>
      </c>
      <c r="AP24" s="1508" t="s">
        <v>498</v>
      </c>
      <c r="AY24" s="1508" t="s">
        <v>450</v>
      </c>
      <c r="BA24" s="1508" t="s">
        <v>451</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КГУП "Примтеплоэнерго"</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Агентство по тарифам Приморского края</v>
      </c>
      <c r="W31" s="2252"/>
      <c r="X31" s="2252"/>
      <c r="Y31" s="2252"/>
      <c r="Z31" s="2252"/>
      <c r="AA31" s="2252"/>
      <c r="AB31" s="2252"/>
      <c r="AC31" s="327"/>
      <c r="AD31" s="2252" t="str">
        <f>IF(TITLE_NAME_OR_PR_CHANGE="",IF(TITLE_NAME_OR_PR="","",TITLE_NAME_OR_PR),TITLE_NAME_OR_PR_CHANGE)</f>
        <v>Агентство по тарифам Приморского края</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c r="A32" s="1369"/>
      <c r="B32" s="1369"/>
      <c r="C32" s="1369"/>
      <c r="D32" s="1369"/>
      <c r="E32" s="1369"/>
      <c r="F32" s="1369"/>
      <c r="G32" s="1369"/>
      <c r="H32" s="1369"/>
      <c r="I32" s="1369"/>
      <c r="J32" s="1369"/>
      <c r="K32" s="1369"/>
      <c r="L32" s="1370"/>
      <c r="M32" s="1369"/>
      <c r="N32" s="1369"/>
      <c r="O32" s="1369"/>
      <c r="P32" s="1369"/>
      <c r="Q32" s="1369"/>
      <c r="S32" s="2251" t="s">
        <v>453</v>
      </c>
      <c r="T32" s="2251"/>
      <c r="U32" s="1373"/>
      <c r="V32" s="2265" t="str">
        <f>IF(TITLE_DATE_PR_CHANGE="",IF(TITLE_DATE_PR="","",TITLE_DATE_PR),TITLE_DATE_PR_CHANGE)</f>
        <v>45777.43633101852</v>
      </c>
      <c r="W32" s="2265"/>
      <c r="X32" s="2265"/>
      <c r="Y32" s="2265"/>
      <c r="Z32" s="2265"/>
      <c r="AA32" s="2265"/>
      <c r="AB32" s="2265"/>
      <c r="AC32" s="327"/>
      <c r="AD32" s="2265" t="str">
        <f>IF(TITLE_DATE_PR_CHANGE="",IF(TITLE_DATE_PR="","",TITLE_DATE_PR),TITLE_DATE_PR_CHANGE)</f>
        <v>45777.43633101852</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c r="A33" s="1369"/>
      <c r="B33" s="1369"/>
      <c r="C33" s="1369"/>
      <c r="D33" s="1369"/>
      <c r="E33" s="1369"/>
      <c r="F33" s="1369"/>
      <c r="G33" s="1369"/>
      <c r="H33" s="1369"/>
      <c r="I33" s="1369"/>
      <c r="J33" s="1369"/>
      <c r="K33" s="1369"/>
      <c r="L33" s="1370"/>
      <c r="M33" s="1369"/>
      <c r="N33" s="1369"/>
      <c r="O33" s="1369"/>
      <c r="P33" s="1369"/>
      <c r="Q33" s="1369"/>
      <c r="S33" s="2251" t="s">
        <v>454</v>
      </c>
      <c r="T33" s="2251"/>
      <c r="U33" s="1373"/>
      <c r="V33" s="2252" t="str">
        <f>IF(TITLE_NUMBER_PR_CHANGE="",IF(TITLE_NUMBER_PR="","",TITLE_NUMBER_PR),TITLE_NUMBER_PR_CHANGE)</f>
        <v>17-1</v>
      </c>
      <c r="W33" s="2252"/>
      <c r="X33" s="2252"/>
      <c r="Y33" s="2252"/>
      <c r="Z33" s="2252"/>
      <c r="AA33" s="2252"/>
      <c r="AB33" s="2252"/>
      <c r="AC33" s="327"/>
      <c r="AD33" s="2252" t="str">
        <f>IF(TITLE_NUMBER_PR_CHANGE="",IF(TITLE_NUMBER_PR="","",TITLE_NUMBER_PR),TITLE_NUMBER_PR_CHANGE)</f>
        <v>17-1</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c r="A34" s="1369"/>
      <c r="B34" s="1369"/>
      <c r="C34" s="1369"/>
      <c r="D34" s="1369"/>
      <c r="E34" s="1369"/>
      <c r="F34" s="1369"/>
      <c r="G34" s="1369"/>
      <c r="H34" s="1369"/>
      <c r="I34" s="1369"/>
      <c r="J34" s="1369"/>
      <c r="K34" s="1369"/>
      <c r="L34" s="1370"/>
      <c r="M34" s="1369"/>
      <c r="N34" s="1369"/>
      <c r="O34" s="1369"/>
      <c r="P34" s="1369"/>
      <c r="Q34" s="1369"/>
      <c r="S34" s="2251" t="s">
        <v>44</v>
      </c>
      <c r="T34" s="2251"/>
      <c r="U34" s="1373"/>
      <c r="V34" s="2252" t="str">
        <f>IF(TITLE_IST_PUB_CHANGE="",IF(TITLE_IST_PUB="","",TITLE_IST_PUB),TITLE_IST_PUB_CHANGE)</f>
        <v>http://pravo.gov.ru</v>
      </c>
      <c r="W34" s="2252"/>
      <c r="X34" s="2252"/>
      <c r="Y34" s="2252"/>
      <c r="Z34" s="2252"/>
      <c r="AA34" s="2252"/>
      <c r="AB34" s="2252"/>
      <c r="AC34" s="327"/>
      <c r="AD34" s="2252" t="str">
        <f>IF(TITLE_IST_PUB_CHANGE="",IF(TITLE_IST_PUB="","",TITLE_IST_PUB),TITLE_IST_PUB_CHANGE)</f>
        <v>http://pravo.gov.ru</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453</v>
      </c>
      <c r="T36" s="2251"/>
      <c r="U36" s="1373"/>
      <c r="V36" s="2265" t="str">
        <f>IF(TITLE_DATE_PR_CHANGE="",IF(TITLE_DATE_PR="","",TITLE_DATE_PR),TITLE_DATE_PR_CHANGE)</f>
        <v>45777.43633101852</v>
      </c>
      <c r="W36" s="2265"/>
      <c r="X36" s="2265"/>
      <c r="Y36" s="2265"/>
      <c r="Z36" s="2265"/>
      <c r="AA36" s="2265"/>
      <c r="AB36" s="2265"/>
      <c r="AC36" s="327"/>
      <c r="AD36" s="2265" t="str">
        <f>IF(TITLE_DATE_PR_CHANGE="",IF(TITLE_DATE_PR="","",TITLE_DATE_PR),TITLE_DATE_PR_CHANGE)</f>
        <v>45777.43633101852</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454</v>
      </c>
      <c r="T37" s="2251"/>
      <c r="U37" s="1373"/>
      <c r="V37" s="2252" t="str">
        <f>IF(TITLE_NUMBER_PR_CHANGE="",IF(TITLE_NUMBER_PR="","",TITLE_NUMBER_PR),TITLE_NUMBER_PR_CHANGE)</f>
        <v>17-1</v>
      </c>
      <c r="W37" s="2252"/>
      <c r="X37" s="2252"/>
      <c r="Y37" s="2252"/>
      <c r="Z37" s="2252"/>
      <c r="AA37" s="2252"/>
      <c r="AB37" s="2252"/>
      <c r="AC37" s="327"/>
      <c r="AD37" s="2252" t="str">
        <f>IF(TITLE_NUMBER_PR_CHANGE="",IF(TITLE_NUMBER_PR="","",TITLE_NUMBER_PR),TITLE_NUMBER_PR_CHANGE)</f>
        <v>17-1</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457</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457</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333</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334</v>
      </c>
      <c r="BI40" s="1156">
        <v>14</v>
      </c>
    </row>
    <row customHeight="1" ht="14.699999999999998">
      <c r="Q41" s="292"/>
      <c r="R41" s="377"/>
      <c r="S41" s="2274" t="s">
        <v>91</v>
      </c>
      <c r="T41" s="2210" t="s">
        <v>540</v>
      </c>
      <c r="U41" s="302"/>
      <c r="V41" s="2275" t="s">
        <v>459</v>
      </c>
      <c r="W41" s="2276"/>
      <c r="X41" s="2276"/>
      <c r="Y41" s="2276"/>
      <c r="Z41" s="2276"/>
      <c r="AA41" s="2276"/>
      <c r="AB41" s="2277"/>
      <c r="AC41" s="2278" t="s">
        <v>460</v>
      </c>
      <c r="AD41" s="2329" t="s">
        <v>541</v>
      </c>
      <c r="AE41" s="2292"/>
      <c r="AF41" s="2292"/>
      <c r="AG41" s="2330"/>
      <c r="AH41" s="2329" t="s">
        <v>542</v>
      </c>
      <c r="AI41" s="2292"/>
      <c r="AJ41" s="2292"/>
      <c r="AK41" s="2330"/>
      <c r="AL41" s="2329" t="s">
        <v>543</v>
      </c>
      <c r="AM41" s="2292"/>
      <c r="AN41" s="2292"/>
      <c r="AO41" s="2330"/>
      <c r="AP41" s="2329" t="s">
        <v>544</v>
      </c>
      <c r="AQ41" s="2292"/>
      <c r="AR41" s="2292"/>
      <c r="AS41" s="2330"/>
      <c r="AT41" s="2275" t="s">
        <v>459</v>
      </c>
      <c r="AU41" s="2276"/>
      <c r="AV41" s="2276"/>
      <c r="AW41" s="2276"/>
      <c r="AX41" s="2276"/>
      <c r="AY41" s="2276"/>
      <c r="AZ41" s="2277"/>
      <c r="BA41" s="2278" t="s">
        <v>460</v>
      </c>
      <c r="BB41" s="2281" t="s">
        <v>462</v>
      </c>
      <c r="BC41" s="2128"/>
      <c r="BI41" s="1156">
        <v>14</v>
      </c>
    </row>
    <row customHeight="1" ht="35.699999999999996">
      <c r="Q42" s="292"/>
      <c r="R42" s="377"/>
      <c r="S42" s="2274"/>
      <c r="T42" s="2210"/>
      <c r="U42" s="1032"/>
      <c r="V42" s="2193" t="s">
        <v>545</v>
      </c>
      <c r="W42" s="2194"/>
      <c r="X42" s="2193" t="s">
        <v>546</v>
      </c>
      <c r="Y42" s="2194"/>
      <c r="Z42" s="2295" t="s">
        <v>547</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545</v>
      </c>
      <c r="AU42" s="2194"/>
      <c r="AV42" s="2193" t="s">
        <v>546</v>
      </c>
      <c r="AW42" s="2194"/>
      <c r="AX42" s="2295" t="s">
        <v>547</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149</v>
      </c>
      <c r="C44" s="1371" t="s">
        <v>150</v>
      </c>
      <c r="D44" s="1371" t="s">
        <v>151</v>
      </c>
      <c r="E44" s="1365" t="s">
        <v>467</v>
      </c>
      <c r="F44" s="1365" t="s">
        <v>468</v>
      </c>
      <c r="G44" s="1365" t="s">
        <v>469</v>
      </c>
      <c r="H44" s="1365" t="s">
        <v>470</v>
      </c>
      <c r="I44" s="1365" t="s">
        <v>471</v>
      </c>
      <c r="J44" s="1365" t="s">
        <v>472</v>
      </c>
      <c r="K44" s="1365" t="s">
        <v>473</v>
      </c>
      <c r="L44" s="1365" t="s">
        <v>448</v>
      </c>
      <c r="Q44" s="292"/>
      <c r="R44" s="377"/>
      <c r="S44" s="2274"/>
      <c r="T44" s="2210"/>
      <c r="U44" s="303"/>
      <c r="V44" s="1449" t="s">
        <v>508</v>
      </c>
      <c r="W44" s="1449" t="s">
        <v>509</v>
      </c>
      <c r="X44" s="1449" t="s">
        <v>508</v>
      </c>
      <c r="Y44" s="1449" t="s">
        <v>509</v>
      </c>
      <c r="Z44" s="1456" t="s">
        <v>476</v>
      </c>
      <c r="AA44" s="2271" t="s">
        <v>477</v>
      </c>
      <c r="AB44" s="2272"/>
      <c r="AC44" s="2280"/>
      <c r="AD44" s="2334"/>
      <c r="AE44" s="2335"/>
      <c r="AF44" s="2335"/>
      <c r="AG44" s="2336"/>
      <c r="AH44" s="2334"/>
      <c r="AI44" s="2335"/>
      <c r="AJ44" s="2335"/>
      <c r="AK44" s="2336"/>
      <c r="AL44" s="2334"/>
      <c r="AM44" s="2335"/>
      <c r="AN44" s="2335"/>
      <c r="AO44" s="2336"/>
      <c r="AP44" s="2334"/>
      <c r="AQ44" s="2335"/>
      <c r="AR44" s="2335"/>
      <c r="AS44" s="2336"/>
      <c r="AT44" s="1449" t="s">
        <v>508</v>
      </c>
      <c r="AU44" s="1449" t="s">
        <v>509</v>
      </c>
      <c r="AV44" s="1449" t="s">
        <v>508</v>
      </c>
      <c r="AW44" s="1449" t="s">
        <v>509</v>
      </c>
      <c r="AX44" s="1456" t="s">
        <v>476</v>
      </c>
      <c r="AY44" s="2271" t="s">
        <v>477</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124</v>
      </c>
      <c r="T45" s="1256" t="s">
        <v>107</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279</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137</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279</v>
      </c>
      <c r="B47" s="1364" t="s">
        <v>280</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430</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431</v>
      </c>
      <c r="BE47" s="501"/>
      <c r="BF47" s="501" t="str">
        <f>IF(T47="","",T47)</f>
        <v>Территория действия тарифа</v>
      </c>
      <c r="BG47" s="501"/>
      <c r="BH47" s="501"/>
      <c r="BI47" s="1156">
        <v>21</v>
      </c>
    </row>
    <row customHeight="1" ht="43.050000000000004">
      <c r="A48" s="1364" t="s">
        <v>279</v>
      </c>
      <c r="B48" s="1364" t="s">
        <v>280</v>
      </c>
      <c r="C48" s="1364" t="s">
        <v>281</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514</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515</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279</v>
      </c>
      <c r="B49" s="1344" t="s">
        <v>280</v>
      </c>
      <c r="C49" s="1344" t="s">
        <v>281</v>
      </c>
      <c r="D49" s="1344" t="s">
        <v>548</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435</v>
      </c>
      <c r="BE49" s="501"/>
      <c r="BF49" s="501" t="str">
        <f>IF(T49="","",T49)</f>
        <v/>
      </c>
      <c r="BG49" s="501"/>
      <c r="BH49" s="501"/>
      <c r="BI49" s="512">
        <v>0</v>
      </c>
    </row>
    <row s="1643" customFormat="1" customHeight="1" ht="0">
      <c r="A50" s="1344" t="s">
        <v>279</v>
      </c>
      <c r="B50" s="1344" t="s">
        <v>280</v>
      </c>
      <c r="C50" s="1344" t="s">
        <v>281</v>
      </c>
      <c r="D50" s="1344" t="s">
        <v>548</v>
      </c>
      <c r="E50" s="2260"/>
      <c r="F50" s="2260"/>
      <c r="G50" s="2260"/>
      <c r="H50" s="2260"/>
      <c r="I50" s="2257" t="str">
        <f>S49&amp;".1"</f>
        <v>.1</v>
      </c>
      <c r="J50" s="1344"/>
      <c r="K50" s="1344"/>
      <c r="L50" s="1347" t="s">
        <v>436</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279</v>
      </c>
      <c r="B51" s="1344" t="s">
        <v>280</v>
      </c>
      <c r="C51" s="1344" t="s">
        <v>281</v>
      </c>
      <c r="D51" s="1344" t="s">
        <v>548</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279</v>
      </c>
      <c r="B52" s="1364" t="s">
        <v>280</v>
      </c>
      <c r="C52" s="1364" t="s">
        <v>281</v>
      </c>
      <c r="D52" s="1364" t="s">
        <v>548</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64</v>
      </c>
      <c r="AB52" s="1735"/>
      <c r="AC52" s="1460" t="s">
        <v>64</v>
      </c>
      <c r="AD52" s="2186" t="s">
        <v>64</v>
      </c>
      <c r="AE52" s="2327"/>
      <c r="AF52" s="2206">
        <v>1</v>
      </c>
      <c r="AG52" s="2364"/>
      <c r="AH52" s="2108" t="s">
        <v>64</v>
      </c>
      <c r="AI52" s="2327"/>
      <c r="AJ52" s="2206">
        <v>1</v>
      </c>
      <c r="AK52" s="2328" t="s">
        <v>28</v>
      </c>
      <c r="AL52" s="2108" t="s">
        <v>64</v>
      </c>
      <c r="AM52" s="2193"/>
      <c r="AN52" s="2206">
        <v>1</v>
      </c>
      <c r="AO52" s="2358"/>
      <c r="AP52" s="2359" t="s">
        <v>64</v>
      </c>
      <c r="AQ52" s="312"/>
      <c r="AR52" s="1464">
        <v>1</v>
      </c>
      <c r="AS52" s="1467" t="s">
        <v>28</v>
      </c>
      <c r="AT52" s="752"/>
      <c r="AU52" s="1258"/>
      <c r="AV52" s="752"/>
      <c r="AW52" s="1258"/>
      <c r="AX52" s="1735"/>
      <c r="AY52" s="1460" t="s">
        <v>64</v>
      </c>
      <c r="AZ52" s="1735"/>
      <c r="BA52" s="1460" t="s">
        <v>64</v>
      </c>
      <c r="BB52" s="1349"/>
      <c r="BC52" s="2254" t="s">
        <v>534</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535</v>
      </c>
      <c r="AT53" s="1394"/>
      <c r="AU53" s="1497"/>
      <c r="AV53" s="1394"/>
      <c r="AW53" s="1497"/>
      <c r="AX53" s="1394"/>
      <c r="AY53" s="1394"/>
      <c r="AZ53" s="1394"/>
      <c r="BA53" s="1394"/>
      <c r="BB53" s="1398"/>
      <c r="BC53" s="2255"/>
      <c r="BE53" s="501"/>
      <c r="BF53" s="501"/>
      <c r="BG53" s="501"/>
      <c r="BH53" s="501"/>
      <c r="BI53" s="1156">
        <v>11</v>
      </c>
    </row>
    <row customHeight="1" ht="11.549999999999999">
      <c r="A54" s="1364" t="s">
        <v>279</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536</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279</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537</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279</v>
      </c>
      <c r="B56" s="1364" t="s">
        <v>280</v>
      </c>
      <c r="C56" s="1364" t="s">
        <v>281</v>
      </c>
      <c r="D56" s="1364" t="s">
        <v>548</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538</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279</v>
      </c>
      <c r="B57" s="1364" t="s">
        <v>280</v>
      </c>
      <c r="C57" s="1364" t="s">
        <v>281</v>
      </c>
      <c r="D57" s="1364" t="s">
        <v>548</v>
      </c>
      <c r="E57" s="2260"/>
      <c r="F57" s="2260"/>
      <c r="G57" s="2260"/>
      <c r="H57" s="2260"/>
      <c r="I57" s="2287"/>
      <c r="J57" s="2257"/>
      <c r="K57" s="1364"/>
      <c r="L57" s="1365"/>
      <c r="P57" s="2258"/>
      <c r="Q57" s="2258"/>
      <c r="R57" s="357"/>
      <c r="S57" s="1279"/>
      <c r="T57" s="288" t="s">
        <v>497</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279</v>
      </c>
      <c r="B58" s="1344" t="s">
        <v>280</v>
      </c>
      <c r="C58" s="1344" t="s">
        <v>281</v>
      </c>
      <c r="D58" s="1344" t="s">
        <v>548</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279</v>
      </c>
      <c r="B59" s="1344" t="s">
        <v>280</v>
      </c>
      <c r="C59" s="1344" t="s">
        <v>281</v>
      </c>
      <c r="D59" s="1344" t="s">
        <v>548</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279</v>
      </c>
      <c r="B60" s="1344" t="s">
        <v>280</v>
      </c>
      <c r="C60" s="1344" t="s">
        <v>281</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279</v>
      </c>
      <c r="B61" s="1344" t="s">
        <v>280</v>
      </c>
      <c r="C61" s="1315"/>
      <c r="D61" s="1315"/>
      <c r="E61" s="2260"/>
      <c r="F61" s="2259"/>
      <c r="G61" s="1315"/>
      <c r="H61" s="1315"/>
      <c r="I61" s="1315"/>
      <c r="J61" s="1315"/>
      <c r="K61" s="1315"/>
      <c r="L61" s="1465"/>
      <c r="M61" s="1322"/>
      <c r="N61" s="1322"/>
      <c r="P61" s="1317"/>
      <c r="Q61" s="1318"/>
      <c r="R61" s="1317"/>
      <c r="S61" s="1323"/>
      <c r="T61" s="1326" t="s">
        <v>219</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279</v>
      </c>
      <c r="B62" s="1344"/>
      <c r="C62" s="1344"/>
      <c r="D62" s="1344"/>
      <c r="E62" s="2259"/>
      <c r="F62" s="1344"/>
      <c r="G62" s="1344"/>
      <c r="H62" s="1344"/>
      <c r="I62" s="1344"/>
      <c r="J62" s="1344"/>
      <c r="K62" s="1344"/>
      <c r="L62" s="1347"/>
      <c r="M62" s="1322"/>
      <c r="N62" s="1322"/>
      <c r="O62" s="519"/>
      <c r="P62" s="381"/>
      <c r="Q62" s="1345"/>
      <c r="R62" s="381"/>
      <c r="S62" s="1323"/>
      <c r="T62" s="1326" t="s">
        <v>227</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236</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85</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07FAC4-64E8-D2E8-B68A-27E2D571A50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137</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430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431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549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550</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516</v>
      </c>
      <c r="U5" s="301"/>
      <c r="V5" s="2351"/>
      <c r="W5" s="2352"/>
      <c r="X5" s="2352"/>
      <c r="Y5" s="2352"/>
      <c r="Z5" s="2352"/>
      <c r="AA5" s="2352"/>
      <c r="AB5" s="2353"/>
      <c r="AC5" s="2354"/>
      <c r="AD5" s="2355"/>
      <c r="AE5" s="2355"/>
      <c r="AF5" s="2355"/>
      <c r="AG5" s="2355"/>
      <c r="AH5" s="2355"/>
      <c r="AI5" s="2355"/>
      <c r="AJ5" s="2356"/>
      <c r="AK5" s="1259" t="s">
        <v>517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439</v>
      </c>
      <c r="P6" s="2258"/>
      <c r="Q6" s="2258">
        <v>1</v>
      </c>
      <c r="R6" s="358"/>
      <c r="S6" s="1494">
        <f>$J6</f>
      </c>
      <c r="T6" s="287" t="s">
        <v>440</v>
      </c>
      <c r="U6" s="301"/>
      <c r="V6" s="2246"/>
      <c r="W6" s="2247"/>
      <c r="X6" s="2247"/>
      <c r="Y6" s="2247"/>
      <c r="Z6" s="2247"/>
      <c r="AA6" s="2247"/>
      <c r="AB6" s="2248"/>
      <c r="AC6" s="2246"/>
      <c r="AD6" s="2247"/>
      <c r="AE6" s="2247"/>
      <c r="AF6" s="2247"/>
      <c r="AG6" s="2247"/>
      <c r="AH6" s="2247"/>
      <c r="AI6" s="2247"/>
      <c r="AJ6" s="2248"/>
      <c r="AK6" s="1308" t="s">
        <v>518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64</v>
      </c>
      <c r="AA7" s="2266"/>
      <c r="AB7" s="2108" t="s">
        <v>64</v>
      </c>
      <c r="AC7" s="752"/>
      <c r="AD7" s="752"/>
      <c r="AE7" s="1258"/>
      <c r="AF7" s="2266"/>
      <c r="AG7" s="2108" t="s">
        <v>64</v>
      </c>
      <c r="AH7" s="2288"/>
      <c r="AI7" s="2108" t="s">
        <v>64</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519</v>
      </c>
      <c r="U9" s="368"/>
      <c r="V9" s="368"/>
      <c r="W9" s="368"/>
      <c r="X9" s="368"/>
      <c r="Y9" s="368"/>
      <c r="Z9" s="368"/>
      <c r="AA9" s="368"/>
      <c r="AB9" s="368"/>
      <c r="AC9" s="368"/>
      <c r="AD9" s="368"/>
      <c r="AE9" s="368"/>
      <c r="AF9" s="368"/>
      <c r="AG9" s="368"/>
      <c r="AH9" s="368"/>
      <c r="AI9" s="368"/>
      <c r="AJ9" s="368"/>
      <c r="AK9" s="1259" t="s">
        <v>520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445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521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219</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227</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64</v>
      </c>
      <c r="AH15" s="2268"/>
      <c r="AI15" s="2269" t="s">
        <v>64</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447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448</v>
      </c>
      <c r="P20" s="1363"/>
      <c r="Q20" s="1443"/>
      <c r="R20" s="1443"/>
      <c r="S20" s="730"/>
      <c r="T20" s="1161" t="s">
        <v>449</v>
      </c>
      <c r="Z20" s="187" t="s">
        <v>450</v>
      </c>
      <c r="AB20" s="187" t="s">
        <v>451</v>
      </c>
      <c r="AC20" s="1161" t="s">
        <v>449</v>
      </c>
      <c r="AG20" s="187" t="s">
        <v>452</v>
      </c>
      <c r="AI20" s="187" t="s">
        <v>451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КГУП "Примтеплоэнерго"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Агентство по тарифам Приморского края</v>
      </c>
      <c r="W27" s="2252"/>
      <c r="X27" s="2252"/>
      <c r="Y27" s="2252"/>
      <c r="Z27" s="2252"/>
      <c r="AA27" s="2252"/>
      <c r="AB27" s="327"/>
      <c r="AC27" s="2252" t="str">
        <f>IF(TITLE_NAME_OR_PR_CHANGE="",IF(TITLE_NAME_OR_PR="","",TITLE_NAME_OR_PR),TITLE_NAME_OR_PR_CHANGE)</f>
        <v>Агентство по тарифам Приморского края</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453</v>
      </c>
      <c r="T28" s="2251"/>
      <c r="U28" s="1373"/>
      <c r="V28" s="2265" t="str">
        <f>IF(TITLE_DATE_PR_CHANGE="",IF(TITLE_DATE_PR="","",TITLE_DATE_PR),TITLE_DATE_PR_CHANGE)</f>
        <v>45777.43633101852</v>
      </c>
      <c r="W28" s="2265"/>
      <c r="X28" s="2265"/>
      <c r="Y28" s="2265"/>
      <c r="Z28" s="2265"/>
      <c r="AA28" s="2265"/>
      <c r="AB28" s="327"/>
      <c r="AC28" s="2265" t="str">
        <f>IF(TITLE_DATE_PR_CHANGE="",IF(TITLE_DATE_PR="","",TITLE_DATE_PR),TITLE_DATE_PR_CHANGE)</f>
        <v>45777.43633101852</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454</v>
      </c>
      <c r="T29" s="2251"/>
      <c r="U29" s="1373"/>
      <c r="V29" s="2252" t="str">
        <f>IF(TITLE_NUMBER_PR_CHANGE="",IF(TITLE_NUMBER_PR="","",TITLE_NUMBER_PR),TITLE_NUMBER_PR_CHANGE)</f>
        <v>17-1</v>
      </c>
      <c r="W29" s="2252"/>
      <c r="X29" s="2252"/>
      <c r="Y29" s="2252"/>
      <c r="Z29" s="2252"/>
      <c r="AA29" s="2252"/>
      <c r="AB29" s="327"/>
      <c r="AC29" s="2252" t="str">
        <f>IF(TITLE_NUMBER_PR_CHANGE="",IF(TITLE_NUMBER_PR="","",TITLE_NUMBER_PR),TITLE_NUMBER_PR_CHANGE)</f>
        <v>17-1</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http://pravo.gov.ru</v>
      </c>
      <c r="W30" s="2252"/>
      <c r="X30" s="2252"/>
      <c r="Y30" s="2252"/>
      <c r="Z30" s="2252"/>
      <c r="AA30" s="2252"/>
      <c r="AB30" s="327"/>
      <c r="AC30" s="2252" t="str">
        <f>IF(TITLE_IST_PUB_CHANGE="",IF(TITLE_IST_PUB="","",TITLE_IST_PUB),TITLE_IST_PUB_CHANGE)</f>
        <v>http://pravo.gov.ru</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455</v>
      </c>
      <c r="T32" s="2251"/>
      <c r="U32" s="1373"/>
      <c r="V32" s="2265" t="str">
        <f>IF(TITLE_DATE_PR_CHANGE="",IF(TITLE_DATE_PR="","",TITLE_DATE_PR),TITLE_DATE_PR_CHANGE)</f>
        <v>45777.43633101852</v>
      </c>
      <c r="W32" s="2265"/>
      <c r="X32" s="2265"/>
      <c r="Y32" s="2265"/>
      <c r="Z32" s="2265"/>
      <c r="AA32" s="2265"/>
      <c r="AB32" s="327"/>
      <c r="AC32" s="2265" t="str">
        <f>IF(TITLE_DATE_PR_CHANGE="",IF(TITLE_DATE_PR="","",TITLE_DATE_PR),TITLE_DATE_PR_CHANGE)</f>
        <v>45777.43633101852</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456</v>
      </c>
      <c r="T33" s="2251"/>
      <c r="U33" s="1373"/>
      <c r="V33" s="2252" t="str">
        <f>IF(TITLE_NUMBER_PR_CHANGE="",IF(TITLE_NUMBER_PR="","",TITLE_NUMBER_PR),TITLE_NUMBER_PR_CHANGE)</f>
        <v>17-1</v>
      </c>
      <c r="W33" s="2252"/>
      <c r="X33" s="2252"/>
      <c r="Y33" s="2252"/>
      <c r="Z33" s="2252"/>
      <c r="AA33" s="2252"/>
      <c r="AB33" s="327"/>
      <c r="AC33" s="2252" t="str">
        <f>IF(TITLE_NUMBER_PR_CHANGE="",IF(TITLE_NUMBER_PR="","",TITLE_NUMBER_PR),TITLE_NUMBER_PR_CHANGE)</f>
        <v>17-1</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457</v>
      </c>
      <c r="AC34" s="327"/>
      <c r="AD34" s="327"/>
      <c r="AE34" s="327"/>
      <c r="AF34" s="327"/>
      <c r="AG34" s="327"/>
      <c r="AH34" s="327"/>
      <c r="AI34" s="279" t="s">
        <v>457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333</v>
      </c>
      <c r="T36" s="2128"/>
      <c r="U36" s="2128"/>
      <c r="V36" s="2128"/>
      <c r="W36" s="2128"/>
      <c r="X36" s="2128"/>
      <c r="Y36" s="2128"/>
      <c r="Z36" s="2128"/>
      <c r="AA36" s="2128"/>
      <c r="AB36" s="2128"/>
      <c r="AC36" s="2128"/>
      <c r="AD36" s="2128"/>
      <c r="AE36" s="2128"/>
      <c r="AF36" s="2128"/>
      <c r="AG36" s="2128"/>
      <c r="AH36" s="2128"/>
      <c r="AI36" s="2128"/>
      <c r="AJ36" s="2128"/>
      <c r="AK36" s="2128" t="s">
        <v>334</v>
      </c>
      <c r="AQ36" s="1156">
        <v>14</v>
      </c>
    </row>
    <row customHeight="1" ht="14.699999999999998">
      <c r="Q37" s="377"/>
      <c r="R37" s="377"/>
      <c r="S37" s="2274" t="s">
        <v>91</v>
      </c>
      <c r="T37" s="2210" t="s">
        <v>458</v>
      </c>
      <c r="U37" s="302"/>
      <c r="V37" s="2275" t="s">
        <v>459</v>
      </c>
      <c r="W37" s="2276"/>
      <c r="X37" s="2276"/>
      <c r="Y37" s="2276"/>
      <c r="Z37" s="2276"/>
      <c r="AA37" s="2277"/>
      <c r="AB37" s="2278" t="s">
        <v>460</v>
      </c>
      <c r="AC37" s="2275" t="s">
        <v>459</v>
      </c>
      <c r="AD37" s="2276"/>
      <c r="AE37" s="2276"/>
      <c r="AF37" s="2276"/>
      <c r="AG37" s="2276"/>
      <c r="AH37" s="2277"/>
      <c r="AI37" s="2278" t="s">
        <v>461</v>
      </c>
      <c r="AJ37" s="2281" t="s">
        <v>462</v>
      </c>
      <c r="AK37" s="2128"/>
      <c r="AQ37" s="1156">
        <v>14</v>
      </c>
    </row>
    <row customHeight="1" ht="35.699999999999996">
      <c r="Q38" s="377"/>
      <c r="R38" s="377"/>
      <c r="S38" s="2274"/>
      <c r="T38" s="2210"/>
      <c r="U38" s="1032"/>
      <c r="V38" s="1484" t="s">
        <v>522</v>
      </c>
      <c r="W38" s="2263" t="s">
        <v>465</v>
      </c>
      <c r="X38" s="2264"/>
      <c r="Y38" s="2263" t="s">
        <v>466</v>
      </c>
      <c r="Z38" s="2270"/>
      <c r="AA38" s="2264"/>
      <c r="AB38" s="2279"/>
      <c r="AC38" s="1484" t="s">
        <v>522</v>
      </c>
      <c r="AD38" s="2263" t="s">
        <v>465</v>
      </c>
      <c r="AE38" s="2264"/>
      <c r="AF38" s="2263" t="s">
        <v>466</v>
      </c>
      <c r="AG38" s="2270"/>
      <c r="AH38" s="2264"/>
      <c r="AI38" s="2279"/>
      <c r="AJ38" s="2282"/>
      <c r="AK38" s="2128"/>
      <c r="AQ38" s="1156">
        <v>34</v>
      </c>
    </row>
    <row customHeight="1" ht="90.3">
      <c r="A39" s="1371"/>
      <c r="B39" s="1371" t="s">
        <v>149</v>
      </c>
      <c r="C39" s="1371" t="s">
        <v>150</v>
      </c>
      <c r="D39" s="1371" t="s">
        <v>151</v>
      </c>
      <c r="E39" s="1365" t="s">
        <v>467</v>
      </c>
      <c r="F39" s="1365" t="s">
        <v>468</v>
      </c>
      <c r="G39" s="1365" t="s">
        <v>469</v>
      </c>
      <c r="H39" s="1365"/>
      <c r="I39" s="1365" t="s">
        <v>523</v>
      </c>
      <c r="J39" s="1365" t="s">
        <v>472</v>
      </c>
      <c r="K39" s="1365" t="s">
        <v>524</v>
      </c>
      <c r="L39" s="1365" t="s">
        <v>448</v>
      </c>
      <c r="Q39" s="377"/>
      <c r="R39" s="377"/>
      <c r="S39" s="2274"/>
      <c r="T39" s="2210"/>
      <c r="U39" s="303"/>
      <c r="V39" s="1484" t="s">
        <v>551</v>
      </c>
      <c r="W39" s="1223" t="s">
        <v>552</v>
      </c>
      <c r="X39" s="1223" t="s">
        <v>527</v>
      </c>
      <c r="Y39" s="1490" t="s">
        <v>476</v>
      </c>
      <c r="Z39" s="2271" t="s">
        <v>477</v>
      </c>
      <c r="AA39" s="2272"/>
      <c r="AB39" s="2280"/>
      <c r="AC39" s="1484" t="s">
        <v>551</v>
      </c>
      <c r="AD39" s="1223" t="s">
        <v>552</v>
      </c>
      <c r="AE39" s="1223" t="s">
        <v>527</v>
      </c>
      <c r="AF39" s="1490" t="s">
        <v>476</v>
      </c>
      <c r="AG39" s="2271" t="s">
        <v>477</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124</v>
      </c>
      <c r="T40" s="1256" t="s">
        <v>107</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299</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137</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299</v>
      </c>
      <c r="B42" s="1364" t="s">
        <v>300</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430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431</v>
      </c>
      <c r="AM42" s="501"/>
      <c r="AN42" s="501" t="str">
        <f>IF(T42="","",T42)</f>
        <v>Территория действия тарифа</v>
      </c>
      <c r="AO42" s="501"/>
      <c r="AP42" s="501"/>
      <c r="AQ42" s="1156">
        <v>23</v>
      </c>
    </row>
    <row customHeight="1" ht="24">
      <c r="A43" s="1364" t="s">
        <v>299</v>
      </c>
      <c r="B43" s="1364" t="s">
        <v>300</v>
      </c>
      <c r="C43" s="1364" t="s">
        <v>301</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549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550</v>
      </c>
      <c r="AM43" s="501"/>
      <c r="AN43" s="501" t="str">
        <f>IF(T43="","",T43)</f>
        <v>Наименование централизованной системы водоотведения</v>
      </c>
      <c r="AO43" s="501"/>
      <c r="AP43" s="501"/>
      <c r="AQ43" s="1156">
        <v>23</v>
      </c>
    </row>
    <row customHeight="1" ht="24">
      <c r="A44" s="1364" t="s">
        <v>299</v>
      </c>
      <c r="B44" s="1364" t="s">
        <v>300</v>
      </c>
      <c r="C44" s="1364" t="s">
        <v>301</v>
      </c>
      <c r="D44" s="1364" t="s">
        <v>553</v>
      </c>
      <c r="E44" s="2260"/>
      <c r="F44" s="2260"/>
      <c r="G44" s="2260"/>
      <c r="H44" s="2260"/>
      <c r="I44" s="2257" t="str">
        <f>S43&amp;".1"</f>
        <v>...1</v>
      </c>
      <c r="J44" s="1364"/>
      <c r="K44" s="1364"/>
      <c r="L44" s="1365"/>
      <c r="P44" s="2258">
        <v>1</v>
      </c>
      <c r="Q44" s="1482"/>
      <c r="R44" s="357"/>
      <c r="S44" s="1494" t="str">
        <f>$I44</f>
        <v>...1</v>
      </c>
      <c r="T44" s="286" t="s">
        <v>516</v>
      </c>
      <c r="U44" s="301"/>
      <c r="V44" s="2351"/>
      <c r="W44" s="2352"/>
      <c r="X44" s="2352"/>
      <c r="Y44" s="2352"/>
      <c r="Z44" s="2352"/>
      <c r="AA44" s="2352"/>
      <c r="AB44" s="2353"/>
      <c r="AC44" s="2354"/>
      <c r="AD44" s="2355"/>
      <c r="AE44" s="2355"/>
      <c r="AF44" s="2355"/>
      <c r="AG44" s="2355"/>
      <c r="AH44" s="2355"/>
      <c r="AI44" s="2355"/>
      <c r="AJ44" s="2356"/>
      <c r="AK44" s="1259" t="s">
        <v>517</v>
      </c>
      <c r="AM44" s="501"/>
      <c r="AN44" s="501" t="str">
        <f>IF(T44="","",T44)</f>
        <v>Наименование признака дифференциации</v>
      </c>
      <c r="AO44" s="501"/>
      <c r="AP44" s="501"/>
      <c r="AQ44" s="1156">
        <v>23</v>
      </c>
    </row>
    <row customHeight="1" ht="24">
      <c r="A45" s="1364" t="s">
        <v>299</v>
      </c>
      <c r="B45" s="1364" t="s">
        <v>300</v>
      </c>
      <c r="C45" s="1364" t="s">
        <v>301</v>
      </c>
      <c r="D45" s="1364" t="s">
        <v>553</v>
      </c>
      <c r="E45" s="2260"/>
      <c r="F45" s="2260"/>
      <c r="G45" s="2260"/>
      <c r="H45" s="2260"/>
      <c r="I45" s="2287"/>
      <c r="J45" s="2257" t="str">
        <f>I44&amp;".1"</f>
        <v>...1.1</v>
      </c>
      <c r="K45" s="1364"/>
      <c r="L45" s="1365" t="s">
        <v>439</v>
      </c>
      <c r="P45" s="2258"/>
      <c r="Q45" s="2258">
        <v>1</v>
      </c>
      <c r="R45" s="358"/>
      <c r="S45" s="1494" t="str">
        <f>$J45</f>
        <v>...1.1</v>
      </c>
      <c r="T45" s="287" t="s">
        <v>440</v>
      </c>
      <c r="U45" s="301"/>
      <c r="V45" s="2246"/>
      <c r="W45" s="2247"/>
      <c r="X45" s="2247"/>
      <c r="Y45" s="2247"/>
      <c r="Z45" s="2247"/>
      <c r="AA45" s="2247"/>
      <c r="AB45" s="2248"/>
      <c r="AC45" s="2246"/>
      <c r="AD45" s="2247"/>
      <c r="AE45" s="2247"/>
      <c r="AF45" s="2247"/>
      <c r="AG45" s="2247"/>
      <c r="AH45" s="2247"/>
      <c r="AI45" s="2247"/>
      <c r="AJ45" s="2248"/>
      <c r="AK45" s="1308" t="s">
        <v>518</v>
      </c>
      <c r="AM45" s="501"/>
      <c r="AN45" s="501" t="str">
        <f>IF(T45="","",T45)</f>
        <v>Группа потребителей</v>
      </c>
      <c r="AO45" s="501"/>
      <c r="AP45" s="501"/>
      <c r="AQ45" s="1156">
        <v>23</v>
      </c>
    </row>
    <row customHeight="1" ht="24">
      <c r="A46" s="1364" t="s">
        <v>299</v>
      </c>
      <c r="B46" s="1364" t="s">
        <v>300</v>
      </c>
      <c r="C46" s="1364" t="s">
        <v>301</v>
      </c>
      <c r="D46" s="1364" t="s">
        <v>553</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64</v>
      </c>
      <c r="AA46" s="2268"/>
      <c r="AB46" s="2269" t="s">
        <v>64</v>
      </c>
      <c r="AC46" s="752"/>
      <c r="AD46" s="752"/>
      <c r="AE46" s="1258"/>
      <c r="AF46" s="2266"/>
      <c r="AG46" s="2108" t="s">
        <v>64</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299</v>
      </c>
      <c r="B47" s="1364" t="s">
        <v>300</v>
      </c>
      <c r="C47" s="1364" t="s">
        <v>301</v>
      </c>
      <c r="D47" s="1364" t="s">
        <v>553</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299</v>
      </c>
      <c r="B48" s="1364" t="s">
        <v>300</v>
      </c>
      <c r="C48" s="1364" t="s">
        <v>301</v>
      </c>
      <c r="D48" s="1364" t="s">
        <v>553</v>
      </c>
      <c r="E48" s="2260"/>
      <c r="F48" s="2260"/>
      <c r="G48" s="2260"/>
      <c r="H48" s="2260"/>
      <c r="I48" s="2287"/>
      <c r="J48" s="2257"/>
      <c r="K48" s="1364"/>
      <c r="L48" s="1365"/>
      <c r="P48" s="2258"/>
      <c r="Q48" s="2258"/>
      <c r="R48" s="357"/>
      <c r="S48" s="1279"/>
      <c r="T48" s="288" t="s">
        <v>519</v>
      </c>
      <c r="U48" s="368"/>
      <c r="V48" s="368"/>
      <c r="W48" s="368"/>
      <c r="X48" s="368"/>
      <c r="Y48" s="368"/>
      <c r="Z48" s="368"/>
      <c r="AA48" s="368"/>
      <c r="AB48" s="368"/>
      <c r="AC48" s="368"/>
      <c r="AD48" s="368"/>
      <c r="AE48" s="368"/>
      <c r="AF48" s="368"/>
      <c r="AG48" s="368"/>
      <c r="AH48" s="368"/>
      <c r="AI48" s="368"/>
      <c r="AJ48" s="368"/>
      <c r="AK48" s="1259" t="s">
        <v>520</v>
      </c>
      <c r="AM48" s="501"/>
      <c r="AN48" s="501" t="str">
        <f>IF(T48="","",T48)</f>
        <v>Добавить значение признака дифференциации</v>
      </c>
      <c r="AO48" s="501"/>
      <c r="AP48" s="501"/>
      <c r="AQ48" s="1156">
        <v>20</v>
      </c>
    </row>
    <row customHeight="1" ht="22.049999999999997">
      <c r="A49" s="1364" t="s">
        <v>299</v>
      </c>
      <c r="B49" s="1364" t="s">
        <v>300</v>
      </c>
      <c r="C49" s="1364" t="s">
        <v>301</v>
      </c>
      <c r="D49" s="1364" t="s">
        <v>553</v>
      </c>
      <c r="E49" s="2260"/>
      <c r="F49" s="2260"/>
      <c r="G49" s="2260"/>
      <c r="H49" s="2260"/>
      <c r="I49" s="2257"/>
      <c r="J49" s="1364"/>
      <c r="K49" s="1364"/>
      <c r="L49" s="1365"/>
      <c r="P49" s="2258"/>
      <c r="Q49" s="1482"/>
      <c r="R49" s="357"/>
      <c r="S49" s="1279"/>
      <c r="T49" s="366" t="s">
        <v>445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299</v>
      </c>
      <c r="B50" s="1364" t="s">
        <v>300</v>
      </c>
      <c r="C50" s="1364" t="s">
        <v>301</v>
      </c>
      <c r="D50" s="1364" t="s">
        <v>553</v>
      </c>
      <c r="E50" s="2260"/>
      <c r="F50" s="2260"/>
      <c r="G50" s="2260"/>
      <c r="H50" s="2259"/>
      <c r="I50" s="1364"/>
      <c r="J50" s="1364"/>
      <c r="K50" s="1364"/>
      <c r="L50" s="1365"/>
      <c r="M50" s="1366"/>
      <c r="N50" s="1366"/>
      <c r="O50" s="538"/>
      <c r="P50" s="361"/>
      <c r="Q50" s="376"/>
      <c r="R50" s="356"/>
      <c r="S50" s="1279"/>
      <c r="T50" s="373" t="s">
        <v>521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299</v>
      </c>
      <c r="B51" s="1344" t="s">
        <v>300</v>
      </c>
      <c r="C51" s="1315"/>
      <c r="D51" s="1315"/>
      <c r="E51" s="2260"/>
      <c r="F51" s="2259"/>
      <c r="G51" s="1315"/>
      <c r="H51" s="1315"/>
      <c r="I51" s="1315"/>
      <c r="J51" s="1315"/>
      <c r="K51" s="1315"/>
      <c r="L51" s="1495"/>
      <c r="M51" s="1322"/>
      <c r="N51" s="1322"/>
      <c r="P51" s="1317"/>
      <c r="Q51" s="1318"/>
      <c r="R51" s="1317"/>
      <c r="S51" s="1323"/>
      <c r="T51" s="1326" t="s">
        <v>219</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299</v>
      </c>
      <c r="B52" s="1344"/>
      <c r="C52" s="1344"/>
      <c r="D52" s="1344"/>
      <c r="E52" s="2259"/>
      <c r="F52" s="1344"/>
      <c r="G52" s="1344"/>
      <c r="H52" s="1344"/>
      <c r="I52" s="1344"/>
      <c r="J52" s="1344"/>
      <c r="K52" s="1344"/>
      <c r="L52" s="1347"/>
      <c r="M52" s="1322"/>
      <c r="N52" s="1322"/>
      <c r="O52" s="519"/>
      <c r="P52" s="381"/>
      <c r="Q52" s="1345"/>
      <c r="R52" s="381"/>
      <c r="S52" s="1323"/>
      <c r="T52" s="1326" t="s">
        <v>227</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236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85</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BCB14B-0C13-014F-619B-B57FA5D2FEA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137</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430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431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549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550</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516</v>
      </c>
      <c r="U5" s="301"/>
      <c r="V5" s="2351"/>
      <c r="W5" s="2352"/>
      <c r="X5" s="2352"/>
      <c r="Y5" s="2352"/>
      <c r="Z5" s="2352"/>
      <c r="AA5" s="2352"/>
      <c r="AB5" s="2353"/>
      <c r="AC5" s="2354"/>
      <c r="AD5" s="2355"/>
      <c r="AE5" s="2355"/>
      <c r="AF5" s="2355"/>
      <c r="AG5" s="2355"/>
      <c r="AH5" s="2355"/>
      <c r="AI5" s="2355"/>
      <c r="AJ5" s="2356"/>
      <c r="AK5" s="1259" t="s">
        <v>517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439</v>
      </c>
      <c r="P6" s="2258"/>
      <c r="Q6" s="2258">
        <v>1</v>
      </c>
      <c r="R6" s="358"/>
      <c r="S6" s="1494">
        <f>$J6</f>
      </c>
      <c r="T6" s="287" t="s">
        <v>440</v>
      </c>
      <c r="U6" s="301"/>
      <c r="V6" s="2246"/>
      <c r="W6" s="2247"/>
      <c r="X6" s="2247"/>
      <c r="Y6" s="2247"/>
      <c r="Z6" s="2247"/>
      <c r="AA6" s="2247"/>
      <c r="AB6" s="2248"/>
      <c r="AC6" s="2246"/>
      <c r="AD6" s="2247"/>
      <c r="AE6" s="2247"/>
      <c r="AF6" s="2247"/>
      <c r="AG6" s="2247"/>
      <c r="AH6" s="2247"/>
      <c r="AI6" s="2247"/>
      <c r="AJ6" s="2248"/>
      <c r="AK6" s="1308" t="s">
        <v>518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64</v>
      </c>
      <c r="AA7" s="2266"/>
      <c r="AB7" s="2108" t="s">
        <v>64</v>
      </c>
      <c r="AC7" s="752"/>
      <c r="AD7" s="752"/>
      <c r="AE7" s="1258"/>
      <c r="AF7" s="2266"/>
      <c r="AG7" s="2108" t="s">
        <v>64</v>
      </c>
      <c r="AH7" s="2288"/>
      <c r="AI7" s="2108" t="s">
        <v>64</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519</v>
      </c>
      <c r="U9" s="368"/>
      <c r="V9" s="368"/>
      <c r="W9" s="368"/>
      <c r="X9" s="368"/>
      <c r="Y9" s="368"/>
      <c r="Z9" s="368"/>
      <c r="AA9" s="368"/>
      <c r="AB9" s="368"/>
      <c r="AC9" s="368"/>
      <c r="AD9" s="368"/>
      <c r="AE9" s="368"/>
      <c r="AF9" s="368"/>
      <c r="AG9" s="368"/>
      <c r="AH9" s="368"/>
      <c r="AI9" s="368"/>
      <c r="AJ9" s="368"/>
      <c r="AK9" s="1259" t="s">
        <v>520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445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521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219</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227</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64</v>
      </c>
      <c r="AH15" s="2268"/>
      <c r="AI15" s="2269" t="s">
        <v>64</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447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448</v>
      </c>
      <c r="P20" s="1363"/>
      <c r="Q20" s="1443"/>
      <c r="R20" s="1443"/>
      <c r="S20" s="730"/>
      <c r="T20" s="1161" t="s">
        <v>449</v>
      </c>
      <c r="Z20" s="187" t="s">
        <v>450</v>
      </c>
      <c r="AB20" s="187" t="s">
        <v>451</v>
      </c>
      <c r="AC20" s="1161" t="s">
        <v>449</v>
      </c>
      <c r="AG20" s="187" t="s">
        <v>452</v>
      </c>
      <c r="AI20" s="187" t="s">
        <v>451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КГУП "Примтеплоэнерго"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Агентство по тарифам Приморского края</v>
      </c>
      <c r="W27" s="2252"/>
      <c r="X27" s="2252"/>
      <c r="Y27" s="2252"/>
      <c r="Z27" s="2252"/>
      <c r="AA27" s="2252"/>
      <c r="AB27" s="327"/>
      <c r="AC27" s="2252" t="str">
        <f>IF(TITLE_NAME_OR_PR_CHANGE="",IF(TITLE_NAME_OR_PR="","",TITLE_NAME_OR_PR),TITLE_NAME_OR_PR_CHANGE)</f>
        <v>Агентство по тарифам Приморского края</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453</v>
      </c>
      <c r="T28" s="2251"/>
      <c r="U28" s="1373"/>
      <c r="V28" s="2265" t="str">
        <f>IF(TITLE_DATE_PR_CHANGE="",IF(TITLE_DATE_PR="","",TITLE_DATE_PR),TITLE_DATE_PR_CHANGE)</f>
        <v>45777.43633101852</v>
      </c>
      <c r="W28" s="2265"/>
      <c r="X28" s="2265"/>
      <c r="Y28" s="2265"/>
      <c r="Z28" s="2265"/>
      <c r="AA28" s="2265"/>
      <c r="AB28" s="327"/>
      <c r="AC28" s="2265" t="str">
        <f>IF(TITLE_DATE_PR_CHANGE="",IF(TITLE_DATE_PR="","",TITLE_DATE_PR),TITLE_DATE_PR_CHANGE)</f>
        <v>45777.43633101852</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454</v>
      </c>
      <c r="T29" s="2251"/>
      <c r="U29" s="1373"/>
      <c r="V29" s="2252" t="str">
        <f>IF(TITLE_NUMBER_PR_CHANGE="",IF(TITLE_NUMBER_PR="","",TITLE_NUMBER_PR),TITLE_NUMBER_PR_CHANGE)</f>
        <v>17-1</v>
      </c>
      <c r="W29" s="2252"/>
      <c r="X29" s="2252"/>
      <c r="Y29" s="2252"/>
      <c r="Z29" s="2252"/>
      <c r="AA29" s="2252"/>
      <c r="AB29" s="327"/>
      <c r="AC29" s="2252" t="str">
        <f>IF(TITLE_NUMBER_PR_CHANGE="",IF(TITLE_NUMBER_PR="","",TITLE_NUMBER_PR),TITLE_NUMBER_PR_CHANGE)</f>
        <v>17-1</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http://pravo.gov.ru</v>
      </c>
      <c r="W30" s="2252"/>
      <c r="X30" s="2252"/>
      <c r="Y30" s="2252"/>
      <c r="Z30" s="2252"/>
      <c r="AA30" s="2252"/>
      <c r="AB30" s="327"/>
      <c r="AC30" s="2252" t="str">
        <f>IF(TITLE_IST_PUB_CHANGE="",IF(TITLE_IST_PUB="","",TITLE_IST_PUB),TITLE_IST_PUB_CHANGE)</f>
        <v>http://pravo.gov.ru</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455</v>
      </c>
      <c r="T32" s="2251"/>
      <c r="U32" s="1373"/>
      <c r="V32" s="2265" t="str">
        <f>IF(TITLE_DATE_PR_CHANGE="",IF(TITLE_DATE_PR="","",TITLE_DATE_PR),TITLE_DATE_PR_CHANGE)</f>
        <v>45777.43633101852</v>
      </c>
      <c r="W32" s="2265"/>
      <c r="X32" s="2265"/>
      <c r="Y32" s="2265"/>
      <c r="Z32" s="2265"/>
      <c r="AA32" s="2265"/>
      <c r="AB32" s="327"/>
      <c r="AC32" s="2265" t="str">
        <f>IF(TITLE_DATE_PR_CHANGE="",IF(TITLE_DATE_PR="","",TITLE_DATE_PR),TITLE_DATE_PR_CHANGE)</f>
        <v>45777.43633101852</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456</v>
      </c>
      <c r="T33" s="2251"/>
      <c r="U33" s="1373"/>
      <c r="V33" s="2252" t="str">
        <f>IF(TITLE_NUMBER_PR_CHANGE="",IF(TITLE_NUMBER_PR="","",TITLE_NUMBER_PR),TITLE_NUMBER_PR_CHANGE)</f>
        <v>17-1</v>
      </c>
      <c r="W33" s="2252"/>
      <c r="X33" s="2252"/>
      <c r="Y33" s="2252"/>
      <c r="Z33" s="2252"/>
      <c r="AA33" s="2252"/>
      <c r="AB33" s="327"/>
      <c r="AC33" s="2252" t="str">
        <f>IF(TITLE_NUMBER_PR_CHANGE="",IF(TITLE_NUMBER_PR="","",TITLE_NUMBER_PR),TITLE_NUMBER_PR_CHANGE)</f>
        <v>17-1</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457</v>
      </c>
      <c r="AC34" s="327"/>
      <c r="AD34" s="327"/>
      <c r="AE34" s="327"/>
      <c r="AF34" s="327"/>
      <c r="AG34" s="327"/>
      <c r="AH34" s="327"/>
      <c r="AI34" s="279" t="s">
        <v>457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333</v>
      </c>
      <c r="T36" s="2128"/>
      <c r="U36" s="2128"/>
      <c r="V36" s="2128"/>
      <c r="W36" s="2128"/>
      <c r="X36" s="2128"/>
      <c r="Y36" s="2128"/>
      <c r="Z36" s="2128"/>
      <c r="AA36" s="2128"/>
      <c r="AB36" s="2128"/>
      <c r="AC36" s="2128"/>
      <c r="AD36" s="2128"/>
      <c r="AE36" s="2128"/>
      <c r="AF36" s="2128"/>
      <c r="AG36" s="2128"/>
      <c r="AH36" s="2128"/>
      <c r="AI36" s="2128"/>
      <c r="AJ36" s="2128"/>
      <c r="AK36" s="2128" t="s">
        <v>334</v>
      </c>
      <c r="AQ36" s="1156">
        <v>14</v>
      </c>
    </row>
    <row customHeight="1" ht="14.699999999999998">
      <c r="Q37" s="377"/>
      <c r="R37" s="377"/>
      <c r="S37" s="2274" t="s">
        <v>91</v>
      </c>
      <c r="T37" s="2210" t="s">
        <v>458</v>
      </c>
      <c r="U37" s="302"/>
      <c r="V37" s="2275" t="s">
        <v>459</v>
      </c>
      <c r="W37" s="2276"/>
      <c r="X37" s="2276"/>
      <c r="Y37" s="2276"/>
      <c r="Z37" s="2276"/>
      <c r="AA37" s="2277"/>
      <c r="AB37" s="2278" t="s">
        <v>460</v>
      </c>
      <c r="AC37" s="2275" t="s">
        <v>459</v>
      </c>
      <c r="AD37" s="2276"/>
      <c r="AE37" s="2276"/>
      <c r="AF37" s="2276"/>
      <c r="AG37" s="2276"/>
      <c r="AH37" s="2277"/>
      <c r="AI37" s="2278" t="s">
        <v>461</v>
      </c>
      <c r="AJ37" s="2281" t="s">
        <v>462</v>
      </c>
      <c r="AK37" s="2128"/>
      <c r="AQ37" s="1156">
        <v>14</v>
      </c>
    </row>
    <row customHeight="1" ht="35.699999999999996">
      <c r="Q38" s="377"/>
      <c r="R38" s="377"/>
      <c r="S38" s="2274"/>
      <c r="T38" s="2210"/>
      <c r="U38" s="1032"/>
      <c r="V38" s="1484" t="s">
        <v>522</v>
      </c>
      <c r="W38" s="2263" t="s">
        <v>465</v>
      </c>
      <c r="X38" s="2264"/>
      <c r="Y38" s="2263" t="s">
        <v>466</v>
      </c>
      <c r="Z38" s="2270"/>
      <c r="AA38" s="2264"/>
      <c r="AB38" s="2279"/>
      <c r="AC38" s="1484" t="s">
        <v>522</v>
      </c>
      <c r="AD38" s="2263" t="s">
        <v>465</v>
      </c>
      <c r="AE38" s="2264"/>
      <c r="AF38" s="2263" t="s">
        <v>466</v>
      </c>
      <c r="AG38" s="2270"/>
      <c r="AH38" s="2264"/>
      <c r="AI38" s="2279"/>
      <c r="AJ38" s="2282"/>
      <c r="AK38" s="2128"/>
      <c r="AQ38" s="1156">
        <v>34</v>
      </c>
    </row>
    <row customHeight="1" ht="90.3">
      <c r="A39" s="1371"/>
      <c r="B39" s="1371" t="s">
        <v>149</v>
      </c>
      <c r="C39" s="1371" t="s">
        <v>150</v>
      </c>
      <c r="D39" s="1371" t="s">
        <v>151</v>
      </c>
      <c r="E39" s="1365" t="s">
        <v>467</v>
      </c>
      <c r="F39" s="1365" t="s">
        <v>468</v>
      </c>
      <c r="G39" s="1365" t="s">
        <v>469</v>
      </c>
      <c r="H39" s="1365"/>
      <c r="I39" s="1365" t="s">
        <v>523</v>
      </c>
      <c r="J39" s="1365" t="s">
        <v>472</v>
      </c>
      <c r="K39" s="1365" t="s">
        <v>524</v>
      </c>
      <c r="L39" s="1365" t="s">
        <v>448</v>
      </c>
      <c r="Q39" s="377"/>
      <c r="R39" s="377"/>
      <c r="S39" s="2274"/>
      <c r="T39" s="2210"/>
      <c r="U39" s="303"/>
      <c r="V39" s="1484" t="s">
        <v>551</v>
      </c>
      <c r="W39" s="1223" t="s">
        <v>552</v>
      </c>
      <c r="X39" s="1223" t="s">
        <v>527</v>
      </c>
      <c r="Y39" s="1490" t="s">
        <v>476</v>
      </c>
      <c r="Z39" s="2271" t="s">
        <v>477</v>
      </c>
      <c r="AA39" s="2272"/>
      <c r="AB39" s="2280"/>
      <c r="AC39" s="1484" t="s">
        <v>551</v>
      </c>
      <c r="AD39" s="1223" t="s">
        <v>552</v>
      </c>
      <c r="AE39" s="1223" t="s">
        <v>527</v>
      </c>
      <c r="AF39" s="1490" t="s">
        <v>476</v>
      </c>
      <c r="AG39" s="2271" t="s">
        <v>477</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124</v>
      </c>
      <c r="T40" s="1256" t="s">
        <v>107</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304</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137</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304</v>
      </c>
      <c r="B42" s="1364" t="s">
        <v>305</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430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431</v>
      </c>
      <c r="AM42" s="501"/>
      <c r="AN42" s="501" t="str">
        <f>IF(T42="","",T42)</f>
        <v>Территория действия тарифа</v>
      </c>
      <c r="AO42" s="501"/>
      <c r="AP42" s="501"/>
      <c r="AQ42" s="1156">
        <v>23</v>
      </c>
    </row>
    <row customHeight="1" ht="24">
      <c r="A43" s="1364" t="s">
        <v>304</v>
      </c>
      <c r="B43" s="1364" t="s">
        <v>305</v>
      </c>
      <c r="C43" s="1364" t="s">
        <v>306</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549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550</v>
      </c>
      <c r="AM43" s="501"/>
      <c r="AN43" s="501" t="str">
        <f>IF(T43="","",T43)</f>
        <v>Наименование централизованной системы водоотведения</v>
      </c>
      <c r="AO43" s="501"/>
      <c r="AP43" s="501"/>
      <c r="AQ43" s="1156">
        <v>23</v>
      </c>
    </row>
    <row customHeight="1" ht="24">
      <c r="A44" s="1364" t="s">
        <v>304</v>
      </c>
      <c r="B44" s="1364" t="s">
        <v>305</v>
      </c>
      <c r="C44" s="1364" t="s">
        <v>306</v>
      </c>
      <c r="D44" s="1364" t="s">
        <v>554</v>
      </c>
      <c r="E44" s="2260"/>
      <c r="F44" s="2260"/>
      <c r="G44" s="2260"/>
      <c r="H44" s="2260"/>
      <c r="I44" s="2257" t="str">
        <f>S43&amp;".1"</f>
        <v>...1</v>
      </c>
      <c r="J44" s="1364"/>
      <c r="K44" s="1364"/>
      <c r="L44" s="1365"/>
      <c r="P44" s="2258">
        <v>1</v>
      </c>
      <c r="Q44" s="1482"/>
      <c r="R44" s="357"/>
      <c r="S44" s="1494" t="str">
        <f>$I44</f>
        <v>...1</v>
      </c>
      <c r="T44" s="286" t="s">
        <v>516</v>
      </c>
      <c r="U44" s="301"/>
      <c r="V44" s="2351"/>
      <c r="W44" s="2352"/>
      <c r="X44" s="2352"/>
      <c r="Y44" s="2352"/>
      <c r="Z44" s="2352"/>
      <c r="AA44" s="2352"/>
      <c r="AB44" s="2353"/>
      <c r="AC44" s="2354"/>
      <c r="AD44" s="2355"/>
      <c r="AE44" s="2355"/>
      <c r="AF44" s="2355"/>
      <c r="AG44" s="2355"/>
      <c r="AH44" s="2355"/>
      <c r="AI44" s="2355"/>
      <c r="AJ44" s="2356"/>
      <c r="AK44" s="1259" t="s">
        <v>517</v>
      </c>
      <c r="AM44" s="501"/>
      <c r="AN44" s="501" t="str">
        <f>IF(T44="","",T44)</f>
        <v>Наименование признака дифференциации</v>
      </c>
      <c r="AO44" s="501"/>
      <c r="AP44" s="501"/>
      <c r="AQ44" s="1156">
        <v>23</v>
      </c>
    </row>
    <row customHeight="1" ht="24">
      <c r="A45" s="1364" t="s">
        <v>304</v>
      </c>
      <c r="B45" s="1364" t="s">
        <v>305</v>
      </c>
      <c r="C45" s="1364" t="s">
        <v>306</v>
      </c>
      <c r="D45" s="1364" t="s">
        <v>554</v>
      </c>
      <c r="E45" s="2260"/>
      <c r="F45" s="2260"/>
      <c r="G45" s="2260"/>
      <c r="H45" s="2260"/>
      <c r="I45" s="2287"/>
      <c r="J45" s="2257" t="str">
        <f>I44&amp;".1"</f>
        <v>...1.1</v>
      </c>
      <c r="K45" s="1364"/>
      <c r="L45" s="1365" t="s">
        <v>439</v>
      </c>
      <c r="P45" s="2258"/>
      <c r="Q45" s="2258">
        <v>1</v>
      </c>
      <c r="R45" s="358"/>
      <c r="S45" s="1494" t="str">
        <f>$J45</f>
        <v>...1.1</v>
      </c>
      <c r="T45" s="287" t="s">
        <v>440</v>
      </c>
      <c r="U45" s="301"/>
      <c r="V45" s="2246"/>
      <c r="W45" s="2247"/>
      <c r="X45" s="2247"/>
      <c r="Y45" s="2247"/>
      <c r="Z45" s="2247"/>
      <c r="AA45" s="2247"/>
      <c r="AB45" s="2248"/>
      <c r="AC45" s="2246"/>
      <c r="AD45" s="2247"/>
      <c r="AE45" s="2247"/>
      <c r="AF45" s="2247"/>
      <c r="AG45" s="2247"/>
      <c r="AH45" s="2247"/>
      <c r="AI45" s="2247"/>
      <c r="AJ45" s="2248"/>
      <c r="AK45" s="1308" t="s">
        <v>518</v>
      </c>
      <c r="AM45" s="501"/>
      <c r="AN45" s="501" t="str">
        <f>IF(T45="","",T45)</f>
        <v>Группа потребителей</v>
      </c>
      <c r="AO45" s="501"/>
      <c r="AP45" s="501"/>
      <c r="AQ45" s="1156">
        <v>23</v>
      </c>
    </row>
    <row customHeight="1" ht="24">
      <c r="A46" s="1364" t="s">
        <v>304</v>
      </c>
      <c r="B46" s="1364" t="s">
        <v>305</v>
      </c>
      <c r="C46" s="1364" t="s">
        <v>306</v>
      </c>
      <c r="D46" s="1364" t="s">
        <v>554</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64</v>
      </c>
      <c r="AA46" s="2268"/>
      <c r="AB46" s="2269" t="s">
        <v>64</v>
      </c>
      <c r="AC46" s="752"/>
      <c r="AD46" s="752"/>
      <c r="AE46" s="1258"/>
      <c r="AF46" s="2266"/>
      <c r="AG46" s="2108" t="s">
        <v>64</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304</v>
      </c>
      <c r="B47" s="1364" t="s">
        <v>305</v>
      </c>
      <c r="C47" s="1364" t="s">
        <v>306</v>
      </c>
      <c r="D47" s="1364" t="s">
        <v>554</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304</v>
      </c>
      <c r="B48" s="1364" t="s">
        <v>305</v>
      </c>
      <c r="C48" s="1364" t="s">
        <v>306</v>
      </c>
      <c r="D48" s="1364" t="s">
        <v>554</v>
      </c>
      <c r="E48" s="2260"/>
      <c r="F48" s="2260"/>
      <c r="G48" s="2260"/>
      <c r="H48" s="2260"/>
      <c r="I48" s="2287"/>
      <c r="J48" s="2257"/>
      <c r="K48" s="1364"/>
      <c r="L48" s="1365"/>
      <c r="P48" s="2258"/>
      <c r="Q48" s="2258"/>
      <c r="R48" s="357"/>
      <c r="S48" s="1279"/>
      <c r="T48" s="288" t="s">
        <v>519</v>
      </c>
      <c r="U48" s="368"/>
      <c r="V48" s="368"/>
      <c r="W48" s="368"/>
      <c r="X48" s="368"/>
      <c r="Y48" s="368"/>
      <c r="Z48" s="368"/>
      <c r="AA48" s="368"/>
      <c r="AB48" s="368"/>
      <c r="AC48" s="368"/>
      <c r="AD48" s="368"/>
      <c r="AE48" s="368"/>
      <c r="AF48" s="368"/>
      <c r="AG48" s="368"/>
      <c r="AH48" s="368"/>
      <c r="AI48" s="368"/>
      <c r="AJ48" s="368"/>
      <c r="AK48" s="1259" t="s">
        <v>520</v>
      </c>
      <c r="AM48" s="501"/>
      <c r="AN48" s="501" t="str">
        <f>IF(T48="","",T48)</f>
        <v>Добавить значение признака дифференциации</v>
      </c>
      <c r="AO48" s="501"/>
      <c r="AP48" s="501"/>
      <c r="AQ48" s="1156">
        <v>20</v>
      </c>
    </row>
    <row customHeight="1" ht="22.049999999999997">
      <c r="A49" s="1364" t="s">
        <v>304</v>
      </c>
      <c r="B49" s="1364" t="s">
        <v>305</v>
      </c>
      <c r="C49" s="1364" t="s">
        <v>306</v>
      </c>
      <c r="D49" s="1364" t="s">
        <v>554</v>
      </c>
      <c r="E49" s="2260"/>
      <c r="F49" s="2260"/>
      <c r="G49" s="2260"/>
      <c r="H49" s="2260"/>
      <c r="I49" s="2257"/>
      <c r="J49" s="1364"/>
      <c r="K49" s="1364"/>
      <c r="L49" s="1365"/>
      <c r="P49" s="2258"/>
      <c r="Q49" s="1482"/>
      <c r="R49" s="357"/>
      <c r="S49" s="1279"/>
      <c r="T49" s="366" t="s">
        <v>445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304</v>
      </c>
      <c r="B50" s="1364" t="s">
        <v>305</v>
      </c>
      <c r="C50" s="1364" t="s">
        <v>306</v>
      </c>
      <c r="D50" s="1364" t="s">
        <v>554</v>
      </c>
      <c r="E50" s="2260"/>
      <c r="F50" s="2260"/>
      <c r="G50" s="2260"/>
      <c r="H50" s="2259"/>
      <c r="I50" s="1364"/>
      <c r="J50" s="1364"/>
      <c r="K50" s="1364"/>
      <c r="L50" s="1365"/>
      <c r="M50" s="1366"/>
      <c r="N50" s="1366"/>
      <c r="O50" s="538"/>
      <c r="P50" s="361"/>
      <c r="Q50" s="376"/>
      <c r="R50" s="356"/>
      <c r="S50" s="1279"/>
      <c r="T50" s="373" t="s">
        <v>521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304</v>
      </c>
      <c r="B51" s="1344" t="s">
        <v>305</v>
      </c>
      <c r="C51" s="1315"/>
      <c r="D51" s="1315"/>
      <c r="E51" s="2260"/>
      <c r="F51" s="2259"/>
      <c r="G51" s="1315"/>
      <c r="H51" s="1315"/>
      <c r="I51" s="1315"/>
      <c r="J51" s="1315"/>
      <c r="K51" s="1315"/>
      <c r="L51" s="1495"/>
      <c r="M51" s="1322"/>
      <c r="N51" s="1322"/>
      <c r="P51" s="1317"/>
      <c r="Q51" s="1318"/>
      <c r="R51" s="1317"/>
      <c r="S51" s="1323"/>
      <c r="T51" s="1326" t="s">
        <v>219</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304</v>
      </c>
      <c r="B52" s="1344"/>
      <c r="C52" s="1344"/>
      <c r="D52" s="1344"/>
      <c r="E52" s="2259"/>
      <c r="F52" s="1344"/>
      <c r="G52" s="1344"/>
      <c r="H52" s="1344"/>
      <c r="I52" s="1344"/>
      <c r="J52" s="1344"/>
      <c r="K52" s="1344"/>
      <c r="L52" s="1347"/>
      <c r="M52" s="1322"/>
      <c r="N52" s="1322"/>
      <c r="O52" s="519"/>
      <c r="P52" s="381"/>
      <c r="Q52" s="1345"/>
      <c r="R52" s="381"/>
      <c r="S52" s="1323"/>
      <c r="T52" s="1326" t="s">
        <v>227</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236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85</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8E5F92-BE3F-E522-983A-1D4116B2E9B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137</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430</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431</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549</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550</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435</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436</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64</v>
      </c>
      <c r="AB8" s="1735"/>
      <c r="AC8" s="1470" t="s">
        <v>64</v>
      </c>
      <c r="AD8" s="2186" t="s">
        <v>64</v>
      </c>
      <c r="AE8" s="2327"/>
      <c r="AF8" s="2206">
        <v>1</v>
      </c>
      <c r="AG8" s="2364"/>
      <c r="AH8" s="2108" t="s">
        <v>64</v>
      </c>
      <c r="AI8" s="2327"/>
      <c r="AJ8" s="2206">
        <v>1</v>
      </c>
      <c r="AK8" s="2328" t="s">
        <v>28</v>
      </c>
      <c r="AL8" s="2108" t="s">
        <v>64</v>
      </c>
      <c r="AM8" s="2193"/>
      <c r="AN8" s="2206">
        <v>1</v>
      </c>
      <c r="AO8" s="2358"/>
      <c r="AP8" s="2359" t="s">
        <v>64</v>
      </c>
      <c r="AQ8" s="312"/>
      <c r="AR8" s="1487">
        <v>1</v>
      </c>
      <c r="AS8" s="1493" t="s">
        <v>28</v>
      </c>
      <c r="AT8" s="752"/>
      <c r="AU8" s="1258"/>
      <c r="AV8" s="752"/>
      <c r="AW8" s="1258"/>
      <c r="AX8" s="1735"/>
      <c r="AY8" s="1470" t="s">
        <v>64</v>
      </c>
      <c r="AZ8" s="1735"/>
      <c r="BA8" s="1470" t="s">
        <v>64</v>
      </c>
      <c r="BB8" s="1349"/>
      <c r="BC8" s="2254" t="s">
        <v>534</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535</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555</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556</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538</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497</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219</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227</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64</v>
      </c>
      <c r="AZ20" s="1737"/>
      <c r="BA20" s="1486" t="s">
        <v>64</v>
      </c>
      <c r="BI20" s="1156">
        <v>0</v>
      </c>
    </row>
    <row customHeight="1" ht="14.25" hidden="1">
      <c r="BD21" s="497"/>
      <c r="BE21" s="497"/>
      <c r="BF21" s="497"/>
      <c r="BG21" s="497"/>
      <c r="BH21" s="497"/>
      <c r="BI21" s="1156">
        <v>0</v>
      </c>
    </row>
    <row customHeight="1" ht="14.25" hidden="1">
      <c r="O22" s="1368" t="s">
        <v>447</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448</v>
      </c>
      <c r="P24" s="1509"/>
      <c r="Q24" s="1511"/>
      <c r="R24" s="1511"/>
      <c r="AA24" s="1508" t="s">
        <v>450</v>
      </c>
      <c r="AC24" s="1508" t="s">
        <v>451</v>
      </c>
      <c r="AD24" s="1508" t="s">
        <v>498</v>
      </c>
      <c r="AH24" s="1508" t="s">
        <v>498</v>
      </c>
      <c r="AK24" s="1508" t="s">
        <v>539</v>
      </c>
      <c r="AL24" s="1508" t="s">
        <v>498</v>
      </c>
      <c r="AP24" s="1508" t="s">
        <v>498</v>
      </c>
      <c r="AY24" s="1508" t="s">
        <v>450</v>
      </c>
      <c r="BA24" s="1508" t="s">
        <v>451</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КГУП "Примтеплоэнерго"</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Агентство по тарифам Приморского края</v>
      </c>
      <c r="W31" s="2252"/>
      <c r="X31" s="2252"/>
      <c r="Y31" s="2252"/>
      <c r="Z31" s="2252"/>
      <c r="AA31" s="2252"/>
      <c r="AB31" s="2252"/>
      <c r="AC31" s="327"/>
      <c r="AD31" s="2252" t="str">
        <f>IF(TITLE_NAME_OR_PR_CHANGE="",IF(TITLE_NAME_OR_PR="","",TITLE_NAME_OR_PR),TITLE_NAME_OR_PR_CHANGE)</f>
        <v>Агентство по тарифам Приморского края</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c r="A32" s="1369"/>
      <c r="B32" s="1369"/>
      <c r="C32" s="1369"/>
      <c r="D32" s="1369"/>
      <c r="E32" s="1369"/>
      <c r="F32" s="1369"/>
      <c r="G32" s="1369"/>
      <c r="H32" s="1369"/>
      <c r="I32" s="1369"/>
      <c r="J32" s="1369"/>
      <c r="K32" s="1369"/>
      <c r="L32" s="1370"/>
      <c r="M32" s="1369"/>
      <c r="N32" s="1369"/>
      <c r="O32" s="1369"/>
      <c r="P32" s="1369"/>
      <c r="Q32" s="1369"/>
      <c r="S32" s="2251" t="s">
        <v>453</v>
      </c>
      <c r="T32" s="2251"/>
      <c r="U32" s="1373"/>
      <c r="V32" s="2265" t="str">
        <f>IF(TITLE_DATE_PR_CHANGE="",IF(TITLE_DATE_PR="","",TITLE_DATE_PR),TITLE_DATE_PR_CHANGE)</f>
        <v>45777.43633101852</v>
      </c>
      <c r="W32" s="2265"/>
      <c r="X32" s="2265"/>
      <c r="Y32" s="2265"/>
      <c r="Z32" s="2265"/>
      <c r="AA32" s="2265"/>
      <c r="AB32" s="2265"/>
      <c r="AC32" s="327"/>
      <c r="AD32" s="2265" t="str">
        <f>IF(TITLE_DATE_PR_CHANGE="",IF(TITLE_DATE_PR="","",TITLE_DATE_PR),TITLE_DATE_PR_CHANGE)</f>
        <v>45777.43633101852</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c r="A33" s="1369"/>
      <c r="B33" s="1369"/>
      <c r="C33" s="1369"/>
      <c r="D33" s="1369"/>
      <c r="E33" s="1369"/>
      <c r="F33" s="1369"/>
      <c r="G33" s="1369"/>
      <c r="H33" s="1369"/>
      <c r="I33" s="1369"/>
      <c r="J33" s="1369"/>
      <c r="K33" s="1369"/>
      <c r="L33" s="1370"/>
      <c r="M33" s="1369"/>
      <c r="N33" s="1369"/>
      <c r="O33" s="1369"/>
      <c r="P33" s="1369"/>
      <c r="Q33" s="1369"/>
      <c r="S33" s="2251" t="s">
        <v>454</v>
      </c>
      <c r="T33" s="2251"/>
      <c r="U33" s="1373"/>
      <c r="V33" s="2252" t="str">
        <f>IF(TITLE_NUMBER_PR_CHANGE="",IF(TITLE_NUMBER_PR="","",TITLE_NUMBER_PR),TITLE_NUMBER_PR_CHANGE)</f>
        <v>17-1</v>
      </c>
      <c r="W33" s="2252"/>
      <c r="X33" s="2252"/>
      <c r="Y33" s="2252"/>
      <c r="Z33" s="2252"/>
      <c r="AA33" s="2252"/>
      <c r="AB33" s="2252"/>
      <c r="AC33" s="327"/>
      <c r="AD33" s="2252" t="str">
        <f>IF(TITLE_NUMBER_PR_CHANGE="",IF(TITLE_NUMBER_PR="","",TITLE_NUMBER_PR),TITLE_NUMBER_PR_CHANGE)</f>
        <v>17-1</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c r="A34" s="1369"/>
      <c r="B34" s="1369"/>
      <c r="C34" s="1369"/>
      <c r="D34" s="1369"/>
      <c r="E34" s="1369"/>
      <c r="F34" s="1369"/>
      <c r="G34" s="1369"/>
      <c r="H34" s="1369"/>
      <c r="I34" s="1369"/>
      <c r="J34" s="1369"/>
      <c r="K34" s="1369"/>
      <c r="L34" s="1370"/>
      <c r="M34" s="1369"/>
      <c r="N34" s="1369"/>
      <c r="O34" s="1369"/>
      <c r="P34" s="1369"/>
      <c r="Q34" s="1369"/>
      <c r="S34" s="2251" t="s">
        <v>44</v>
      </c>
      <c r="T34" s="2251"/>
      <c r="U34" s="1373"/>
      <c r="V34" s="2252" t="str">
        <f>IF(TITLE_IST_PUB_CHANGE="",IF(TITLE_IST_PUB="","",TITLE_IST_PUB),TITLE_IST_PUB_CHANGE)</f>
        <v>http://pravo.gov.ru</v>
      </c>
      <c r="W34" s="2252"/>
      <c r="X34" s="2252"/>
      <c r="Y34" s="2252"/>
      <c r="Z34" s="2252"/>
      <c r="AA34" s="2252"/>
      <c r="AB34" s="2252"/>
      <c r="AC34" s="327"/>
      <c r="AD34" s="2252" t="str">
        <f>IF(TITLE_IST_PUB_CHANGE="",IF(TITLE_IST_PUB="","",TITLE_IST_PUB),TITLE_IST_PUB_CHANGE)</f>
        <v>http://pravo.gov.ru</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453</v>
      </c>
      <c r="T36" s="2251"/>
      <c r="U36" s="1373"/>
      <c r="V36" s="2265" t="str">
        <f>IF(TITLE_DATE_PR_CHANGE="",IF(TITLE_DATE_PR="","",TITLE_DATE_PR),TITLE_DATE_PR_CHANGE)</f>
        <v>45777.43633101852</v>
      </c>
      <c r="W36" s="2265"/>
      <c r="X36" s="2265"/>
      <c r="Y36" s="2265"/>
      <c r="Z36" s="2265"/>
      <c r="AA36" s="2265"/>
      <c r="AB36" s="2265"/>
      <c r="AC36" s="327"/>
      <c r="AD36" s="2265" t="str">
        <f>IF(TITLE_DATE_PR_CHANGE="",IF(TITLE_DATE_PR="","",TITLE_DATE_PR),TITLE_DATE_PR_CHANGE)</f>
        <v>45777.43633101852</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454</v>
      </c>
      <c r="T37" s="2251"/>
      <c r="U37" s="1373"/>
      <c r="V37" s="2252" t="str">
        <f>IF(TITLE_NUMBER_PR_CHANGE="",IF(TITLE_NUMBER_PR="","",TITLE_NUMBER_PR),TITLE_NUMBER_PR_CHANGE)</f>
        <v>17-1</v>
      </c>
      <c r="W37" s="2252"/>
      <c r="X37" s="2252"/>
      <c r="Y37" s="2252"/>
      <c r="Z37" s="2252"/>
      <c r="AA37" s="2252"/>
      <c r="AB37" s="2252"/>
      <c r="AC37" s="327"/>
      <c r="AD37" s="2252" t="str">
        <f>IF(TITLE_NUMBER_PR_CHANGE="",IF(TITLE_NUMBER_PR="","",TITLE_NUMBER_PR),TITLE_NUMBER_PR_CHANGE)</f>
        <v>17-1</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457</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457</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333</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334</v>
      </c>
      <c r="BI40" s="1156">
        <v>14</v>
      </c>
    </row>
    <row customHeight="1" ht="14.699999999999998">
      <c r="Q41" s="292"/>
      <c r="R41" s="377"/>
      <c r="S41" s="2274" t="s">
        <v>91</v>
      </c>
      <c r="T41" s="2210" t="s">
        <v>540</v>
      </c>
      <c r="U41" s="302"/>
      <c r="V41" s="2275" t="s">
        <v>459</v>
      </c>
      <c r="W41" s="2276"/>
      <c r="X41" s="2276"/>
      <c r="Y41" s="2276"/>
      <c r="Z41" s="2276"/>
      <c r="AA41" s="2276"/>
      <c r="AB41" s="2277"/>
      <c r="AC41" s="2278" t="s">
        <v>460</v>
      </c>
      <c r="AD41" s="2329" t="s">
        <v>557</v>
      </c>
      <c r="AE41" s="2292"/>
      <c r="AF41" s="2292"/>
      <c r="AG41" s="2330"/>
      <c r="AH41" s="2329" t="s">
        <v>558</v>
      </c>
      <c r="AI41" s="2292"/>
      <c r="AJ41" s="2292"/>
      <c r="AK41" s="2330"/>
      <c r="AL41" s="2329" t="s">
        <v>559</v>
      </c>
      <c r="AM41" s="2292"/>
      <c r="AN41" s="2292"/>
      <c r="AO41" s="2330"/>
      <c r="AP41" s="2329" t="s">
        <v>544</v>
      </c>
      <c r="AQ41" s="2292"/>
      <c r="AR41" s="2292"/>
      <c r="AS41" s="2330"/>
      <c r="AT41" s="2275" t="s">
        <v>459</v>
      </c>
      <c r="AU41" s="2276"/>
      <c r="AV41" s="2276"/>
      <c r="AW41" s="2276"/>
      <c r="AX41" s="2276"/>
      <c r="AY41" s="2276"/>
      <c r="AZ41" s="2277"/>
      <c r="BA41" s="2278" t="s">
        <v>460</v>
      </c>
      <c r="BB41" s="2281" t="s">
        <v>462</v>
      </c>
      <c r="BC41" s="2128"/>
      <c r="BI41" s="1156">
        <v>14</v>
      </c>
    </row>
    <row customHeight="1" ht="35.699999999999996">
      <c r="Q42" s="292"/>
      <c r="R42" s="377"/>
      <c r="S42" s="2274"/>
      <c r="T42" s="2210"/>
      <c r="U42" s="1032"/>
      <c r="V42" s="2193" t="s">
        <v>545</v>
      </c>
      <c r="W42" s="2194"/>
      <c r="X42" s="2193" t="s">
        <v>546</v>
      </c>
      <c r="Y42" s="2194"/>
      <c r="Z42" s="2295" t="s">
        <v>547</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560</v>
      </c>
      <c r="AU42" s="2194"/>
      <c r="AV42" s="2193" t="s">
        <v>561</v>
      </c>
      <c r="AW42" s="2194"/>
      <c r="AX42" s="2295" t="s">
        <v>547</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149</v>
      </c>
      <c r="C44" s="1371" t="s">
        <v>150</v>
      </c>
      <c r="D44" s="1371" t="s">
        <v>151</v>
      </c>
      <c r="E44" s="1365" t="s">
        <v>467</v>
      </c>
      <c r="F44" s="1365" t="s">
        <v>468</v>
      </c>
      <c r="G44" s="1365" t="s">
        <v>469</v>
      </c>
      <c r="H44" s="1365" t="s">
        <v>470</v>
      </c>
      <c r="I44" s="1365" t="s">
        <v>471</v>
      </c>
      <c r="J44" s="1365" t="s">
        <v>472</v>
      </c>
      <c r="K44" s="1365" t="s">
        <v>473</v>
      </c>
      <c r="L44" s="1365" t="s">
        <v>448</v>
      </c>
      <c r="Q44" s="292"/>
      <c r="R44" s="377"/>
      <c r="S44" s="2274"/>
      <c r="T44" s="2210"/>
      <c r="U44" s="303"/>
      <c r="V44" s="1480" t="s">
        <v>508</v>
      </c>
      <c r="W44" s="1480" t="s">
        <v>509</v>
      </c>
      <c r="X44" s="1480" t="s">
        <v>508</v>
      </c>
      <c r="Y44" s="1480" t="s">
        <v>509</v>
      </c>
      <c r="Z44" s="1490" t="s">
        <v>476</v>
      </c>
      <c r="AA44" s="2271" t="s">
        <v>477</v>
      </c>
      <c r="AB44" s="2272"/>
      <c r="AC44" s="2280"/>
      <c r="AD44" s="2334"/>
      <c r="AE44" s="2335"/>
      <c r="AF44" s="2335"/>
      <c r="AG44" s="2336"/>
      <c r="AH44" s="2334"/>
      <c r="AI44" s="2335"/>
      <c r="AJ44" s="2335"/>
      <c r="AK44" s="2336"/>
      <c r="AL44" s="2334"/>
      <c r="AM44" s="2335"/>
      <c r="AN44" s="2335"/>
      <c r="AO44" s="2336"/>
      <c r="AP44" s="2334"/>
      <c r="AQ44" s="2335"/>
      <c r="AR44" s="2335"/>
      <c r="AS44" s="2336"/>
      <c r="AT44" s="1480" t="s">
        <v>508</v>
      </c>
      <c r="AU44" s="1480" t="s">
        <v>509</v>
      </c>
      <c r="AV44" s="1480" t="s">
        <v>508</v>
      </c>
      <c r="AW44" s="1480" t="s">
        <v>509</v>
      </c>
      <c r="AX44" s="1490" t="s">
        <v>476</v>
      </c>
      <c r="AY44" s="2271" t="s">
        <v>477</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124</v>
      </c>
      <c r="T45" s="1256" t="s">
        <v>107</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309</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137</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309</v>
      </c>
      <c r="B47" s="1364" t="s">
        <v>310</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430</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431</v>
      </c>
      <c r="BE47" s="501"/>
      <c r="BF47" s="501" t="str">
        <f>IF(T47="","",T47)</f>
        <v>Территория действия тарифа</v>
      </c>
      <c r="BG47" s="501"/>
      <c r="BH47" s="501"/>
      <c r="BI47" s="1156">
        <v>21</v>
      </c>
    </row>
    <row customHeight="1" ht="35.699999999999996">
      <c r="A48" s="1364" t="s">
        <v>309</v>
      </c>
      <c r="B48" s="1364" t="s">
        <v>310</v>
      </c>
      <c r="C48" s="1364" t="s">
        <v>311</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549</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550</v>
      </c>
      <c r="BE48" s="501"/>
      <c r="BF48" s="501" t="str">
        <f>IF(T48="","",T48)</f>
        <v>Наименование централизованной системы водоотведения</v>
      </c>
      <c r="BG48" s="501"/>
      <c r="BH48" s="501"/>
      <c r="BI48" s="1156">
        <v>34</v>
      </c>
    </row>
    <row s="1643" customFormat="1" customHeight="1" ht="0">
      <c r="A49" s="1344" t="s">
        <v>309</v>
      </c>
      <c r="B49" s="1344" t="s">
        <v>310</v>
      </c>
      <c r="C49" s="1344" t="s">
        <v>311</v>
      </c>
      <c r="D49" s="1344" t="s">
        <v>562</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435</v>
      </c>
      <c r="BE49" s="501"/>
      <c r="BF49" s="501" t="str">
        <f>IF(T49="","",T49)</f>
        <v/>
      </c>
      <c r="BG49" s="501"/>
      <c r="BH49" s="501"/>
      <c r="BI49" s="512">
        <v>0</v>
      </c>
    </row>
    <row s="1643" customFormat="1" customHeight="1" ht="0">
      <c r="A50" s="1344" t="s">
        <v>309</v>
      </c>
      <c r="B50" s="1344" t="s">
        <v>310</v>
      </c>
      <c r="C50" s="1344" t="s">
        <v>311</v>
      </c>
      <c r="D50" s="1344" t="s">
        <v>562</v>
      </c>
      <c r="E50" s="2260"/>
      <c r="F50" s="2260"/>
      <c r="G50" s="2260"/>
      <c r="H50" s="2260"/>
      <c r="I50" s="2257" t="str">
        <f>S49&amp;".1"</f>
        <v>.1</v>
      </c>
      <c r="J50" s="1344"/>
      <c r="K50" s="1344"/>
      <c r="L50" s="1347" t="s">
        <v>436</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309</v>
      </c>
      <c r="B51" s="1344" t="s">
        <v>310</v>
      </c>
      <c r="C51" s="1344" t="s">
        <v>311</v>
      </c>
      <c r="D51" s="1344" t="s">
        <v>562</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309</v>
      </c>
      <c r="B52" s="1364" t="s">
        <v>310</v>
      </c>
      <c r="C52" s="1364" t="s">
        <v>311</v>
      </c>
      <c r="D52" s="1364" t="s">
        <v>562</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64</v>
      </c>
      <c r="AB52" s="1735"/>
      <c r="AC52" s="1470" t="s">
        <v>64</v>
      </c>
      <c r="AD52" s="2186" t="s">
        <v>64</v>
      </c>
      <c r="AE52" s="2327"/>
      <c r="AF52" s="2206">
        <v>1</v>
      </c>
      <c r="AG52" s="2364"/>
      <c r="AH52" s="2108" t="s">
        <v>64</v>
      </c>
      <c r="AI52" s="2327"/>
      <c r="AJ52" s="2206">
        <v>1</v>
      </c>
      <c r="AK52" s="2328" t="s">
        <v>28</v>
      </c>
      <c r="AL52" s="2108" t="s">
        <v>64</v>
      </c>
      <c r="AM52" s="2193"/>
      <c r="AN52" s="2206">
        <v>1</v>
      </c>
      <c r="AO52" s="2358"/>
      <c r="AP52" s="2359" t="s">
        <v>64</v>
      </c>
      <c r="AQ52" s="312"/>
      <c r="AR52" s="1487">
        <v>1</v>
      </c>
      <c r="AS52" s="1493" t="s">
        <v>28</v>
      </c>
      <c r="AT52" s="752"/>
      <c r="AU52" s="1258"/>
      <c r="AV52" s="752"/>
      <c r="AW52" s="1258"/>
      <c r="AX52" s="1735"/>
      <c r="AY52" s="1470" t="s">
        <v>64</v>
      </c>
      <c r="AZ52" s="1735"/>
      <c r="BA52" s="1470" t="s">
        <v>64</v>
      </c>
      <c r="BB52" s="1349"/>
      <c r="BC52" s="2254" t="s">
        <v>534</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535</v>
      </c>
      <c r="AT53" s="1394"/>
      <c r="AU53" s="1497"/>
      <c r="AV53" s="1394"/>
      <c r="AW53" s="1497"/>
      <c r="AX53" s="1394"/>
      <c r="AY53" s="1394"/>
      <c r="AZ53" s="1394"/>
      <c r="BA53" s="1394"/>
      <c r="BB53" s="1398"/>
      <c r="BC53" s="2255"/>
      <c r="BE53" s="501"/>
      <c r="BF53" s="501"/>
      <c r="BG53" s="501"/>
      <c r="BH53" s="501"/>
      <c r="BI53" s="1156">
        <v>11</v>
      </c>
    </row>
    <row customHeight="1" ht="11.549999999999999">
      <c r="A54" s="1364" t="s">
        <v>309</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555</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309</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556</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309</v>
      </c>
      <c r="B56" s="1364" t="s">
        <v>310</v>
      </c>
      <c r="C56" s="1364" t="s">
        <v>311</v>
      </c>
      <c r="D56" s="1364" t="s">
        <v>562</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538</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309</v>
      </c>
      <c r="B57" s="1364" t="s">
        <v>310</v>
      </c>
      <c r="C57" s="1364" t="s">
        <v>311</v>
      </c>
      <c r="D57" s="1364" t="s">
        <v>562</v>
      </c>
      <c r="E57" s="2260"/>
      <c r="F57" s="2260"/>
      <c r="G57" s="2260"/>
      <c r="H57" s="2260"/>
      <c r="I57" s="2287"/>
      <c r="J57" s="2257"/>
      <c r="K57" s="1364"/>
      <c r="L57" s="1365"/>
      <c r="P57" s="2258"/>
      <c r="Q57" s="2258"/>
      <c r="R57" s="357"/>
      <c r="S57" s="1279"/>
      <c r="T57" s="288" t="s">
        <v>497</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309</v>
      </c>
      <c r="B58" s="1344" t="s">
        <v>310</v>
      </c>
      <c r="C58" s="1344" t="s">
        <v>311</v>
      </c>
      <c r="D58" s="1344" t="s">
        <v>562</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309</v>
      </c>
      <c r="B59" s="1344" t="s">
        <v>310</v>
      </c>
      <c r="C59" s="1344" t="s">
        <v>311</v>
      </c>
      <c r="D59" s="1344" t="s">
        <v>562</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309</v>
      </c>
      <c r="B60" s="1344" t="s">
        <v>310</v>
      </c>
      <c r="C60" s="1344" t="s">
        <v>311</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309</v>
      </c>
      <c r="B61" s="1344" t="s">
        <v>310</v>
      </c>
      <c r="C61" s="1315"/>
      <c r="D61" s="1315"/>
      <c r="E61" s="2260"/>
      <c r="F61" s="2259"/>
      <c r="G61" s="1315"/>
      <c r="H61" s="1315"/>
      <c r="I61" s="1315"/>
      <c r="J61" s="1315"/>
      <c r="K61" s="1315"/>
      <c r="L61" s="1495"/>
      <c r="M61" s="1322"/>
      <c r="N61" s="1322"/>
      <c r="P61" s="1317"/>
      <c r="Q61" s="1318"/>
      <c r="R61" s="1317"/>
      <c r="S61" s="1323"/>
      <c r="T61" s="1326" t="s">
        <v>219</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309</v>
      </c>
      <c r="B62" s="1344"/>
      <c r="C62" s="1344"/>
      <c r="D62" s="1344"/>
      <c r="E62" s="2259"/>
      <c r="F62" s="1344"/>
      <c r="G62" s="1344"/>
      <c r="H62" s="1344"/>
      <c r="I62" s="1344"/>
      <c r="J62" s="1344"/>
      <c r="K62" s="1344"/>
      <c r="L62" s="1347"/>
      <c r="M62" s="1322"/>
      <c r="N62" s="1322"/>
      <c r="O62" s="519"/>
      <c r="P62" s="381"/>
      <c r="Q62" s="1345"/>
      <c r="R62" s="381"/>
      <c r="S62" s="1323"/>
      <c r="T62" s="1326" t="s">
        <v>227</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236</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85</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851439-346D-21A6-6268-19405BA19FBB}"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137</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430</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431</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563</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564</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516</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517</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439</v>
      </c>
      <c r="P6" s="2258"/>
      <c r="Q6" s="2258">
        <v>1</v>
      </c>
      <c r="R6" s="358"/>
      <c r="S6" s="1494">
        <f>$J6</f>
      </c>
      <c r="T6" s="287" t="s">
        <v>440</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518</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64</v>
      </c>
      <c r="AE7" s="2266"/>
      <c r="AF7" s="2108" t="s">
        <v>64</v>
      </c>
      <c r="AG7" s="752"/>
      <c r="AH7" s="752"/>
      <c r="AI7" s="752"/>
      <c r="AJ7" s="752"/>
      <c r="AK7" s="752"/>
      <c r="AL7" s="752"/>
      <c r="AM7" s="752"/>
      <c r="AN7" s="2266"/>
      <c r="AO7" s="2108" t="s">
        <v>64</v>
      </c>
      <c r="AP7" s="2288"/>
      <c r="AQ7" s="2108" t="s">
        <v>64</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519</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520</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445</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521</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219</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227</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64</v>
      </c>
      <c r="AP15" s="2268"/>
      <c r="AQ15" s="2269" t="s">
        <v>64</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447</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448</v>
      </c>
      <c r="P20" s="1363"/>
      <c r="Q20" s="1443"/>
      <c r="R20" s="1443"/>
      <c r="S20" s="730"/>
      <c r="T20" s="1161" t="s">
        <v>449</v>
      </c>
      <c r="W20" s="1367"/>
      <c r="X20" s="1367"/>
      <c r="Y20" s="1367"/>
      <c r="Z20" s="1367"/>
      <c r="AA20" s="1367"/>
      <c r="AB20" s="1367"/>
      <c r="AD20" s="187" t="s">
        <v>450</v>
      </c>
      <c r="AF20" s="187" t="s">
        <v>451</v>
      </c>
      <c r="AG20" s="1161" t="s">
        <v>449</v>
      </c>
      <c r="AH20" s="1367"/>
      <c r="AI20" s="1367"/>
      <c r="AJ20" s="1367"/>
      <c r="AK20" s="1367"/>
      <c r="AL20" s="1367"/>
      <c r="AO20" s="187" t="s">
        <v>452</v>
      </c>
      <c r="AQ20" s="187" t="s">
        <v>451</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КГУП "Примтеплоэнерго"</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Агентство по тарифам Приморского края</v>
      </c>
      <c r="W27" s="2252"/>
      <c r="X27" s="2252"/>
      <c r="Y27" s="2252"/>
      <c r="Z27" s="2252"/>
      <c r="AA27" s="2252"/>
      <c r="AB27" s="2252"/>
      <c r="AC27" s="2252"/>
      <c r="AD27" s="2252"/>
      <c r="AE27" s="2252"/>
      <c r="AF27" s="327"/>
      <c r="AG27" s="2252" t="str">
        <f>IF(TITLE_NAME_OR_PR_CHANGE="",IF(TITLE_NAME_OR_PR="","",TITLE_NAME_OR_PR),TITLE_NAME_OR_PR_CHANGE)</f>
        <v>Агентство по тарифам Приморского края</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c r="A28" s="1369"/>
      <c r="B28" s="1369"/>
      <c r="C28" s="1369"/>
      <c r="D28" s="1369"/>
      <c r="E28" s="1369"/>
      <c r="F28" s="1369"/>
      <c r="G28" s="1369"/>
      <c r="H28" s="1369"/>
      <c r="I28" s="1369"/>
      <c r="J28" s="1369"/>
      <c r="K28" s="1369"/>
      <c r="L28" s="1370"/>
      <c r="M28" s="1369"/>
      <c r="N28" s="1369"/>
      <c r="O28" s="1369"/>
      <c r="S28" s="2251" t="s">
        <v>453</v>
      </c>
      <c r="T28" s="2251"/>
      <c r="U28" s="1373"/>
      <c r="V28" s="2265" t="str">
        <f>IF(TITLE_DATE_PR_CHANGE="",IF(TITLE_DATE_PR="","",TITLE_DATE_PR),TITLE_DATE_PR_CHANGE)</f>
        <v>45777.43633101852</v>
      </c>
      <c r="W28" s="2265"/>
      <c r="X28" s="2265"/>
      <c r="Y28" s="2265"/>
      <c r="Z28" s="2265"/>
      <c r="AA28" s="2265"/>
      <c r="AB28" s="2265"/>
      <c r="AC28" s="2265"/>
      <c r="AD28" s="2265"/>
      <c r="AE28" s="2265"/>
      <c r="AF28" s="327"/>
      <c r="AG28" s="2265" t="str">
        <f>IF(TITLE_DATE_PR_CHANGE="",IF(TITLE_DATE_PR="","",TITLE_DATE_PR),TITLE_DATE_PR_CHANGE)</f>
        <v>45777.43633101852</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c r="A29" s="1369"/>
      <c r="B29" s="1369"/>
      <c r="C29" s="1369"/>
      <c r="D29" s="1369"/>
      <c r="E29" s="1369"/>
      <c r="F29" s="1369"/>
      <c r="G29" s="1369"/>
      <c r="H29" s="1369"/>
      <c r="I29" s="1369"/>
      <c r="J29" s="1369"/>
      <c r="K29" s="1369"/>
      <c r="L29" s="1370"/>
      <c r="M29" s="1369"/>
      <c r="N29" s="1369"/>
      <c r="O29" s="1369"/>
      <c r="S29" s="2251" t="s">
        <v>454</v>
      </c>
      <c r="T29" s="2251"/>
      <c r="U29" s="1373"/>
      <c r="V29" s="2252" t="str">
        <f>IF(TITLE_NUMBER_PR_CHANGE="",IF(TITLE_NUMBER_PR="","",TITLE_NUMBER_PR),TITLE_NUMBER_PR_CHANGE)</f>
        <v>17-1</v>
      </c>
      <c r="W29" s="2252"/>
      <c r="X29" s="2252"/>
      <c r="Y29" s="2252"/>
      <c r="Z29" s="2252"/>
      <c r="AA29" s="2252"/>
      <c r="AB29" s="2252"/>
      <c r="AC29" s="2252"/>
      <c r="AD29" s="2252"/>
      <c r="AE29" s="2252"/>
      <c r="AF29" s="327"/>
      <c r="AG29" s="2252" t="str">
        <f>IF(TITLE_NUMBER_PR_CHANGE="",IF(TITLE_NUMBER_PR="","",TITLE_NUMBER_PR),TITLE_NUMBER_PR_CHANGE)</f>
        <v>17-1</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http://pravo.gov.ru</v>
      </c>
      <c r="W30" s="2252"/>
      <c r="X30" s="2252"/>
      <c r="Y30" s="2252"/>
      <c r="Z30" s="2252"/>
      <c r="AA30" s="2252"/>
      <c r="AB30" s="2252"/>
      <c r="AC30" s="2252"/>
      <c r="AD30" s="2252"/>
      <c r="AE30" s="2252"/>
      <c r="AF30" s="327"/>
      <c r="AG30" s="2252" t="str">
        <f>IF(TITLE_IST_PUB_CHANGE="",IF(TITLE_IST_PUB="","",TITLE_IST_PUB),TITLE_IST_PUB_CHANGE)</f>
        <v>http://pravo.gov.ru</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455</v>
      </c>
      <c r="T32" s="2251"/>
      <c r="U32" s="1373"/>
      <c r="V32" s="2265" t="str">
        <f>IF(TITLE_DATE_PR_CHANGE="",IF(TITLE_DATE_PR="","",TITLE_DATE_PR),TITLE_DATE_PR_CHANGE)</f>
        <v>45777.43633101852</v>
      </c>
      <c r="W32" s="2265"/>
      <c r="X32" s="2265"/>
      <c r="Y32" s="2265"/>
      <c r="Z32" s="2265"/>
      <c r="AA32" s="2265"/>
      <c r="AB32" s="2265"/>
      <c r="AC32" s="2265"/>
      <c r="AD32" s="2265"/>
      <c r="AE32" s="2265"/>
      <c r="AF32" s="327"/>
      <c r="AG32" s="2265" t="str">
        <f>IF(TITLE_DATE_PR_CHANGE="",IF(TITLE_DATE_PR="","",TITLE_DATE_PR),TITLE_DATE_PR_CHANGE)</f>
        <v>45777.43633101852</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456</v>
      </c>
      <c r="T33" s="2251"/>
      <c r="U33" s="1373"/>
      <c r="V33" s="2252" t="str">
        <f>IF(TITLE_NUMBER_PR_CHANGE="",IF(TITLE_NUMBER_PR="","",TITLE_NUMBER_PR),TITLE_NUMBER_PR_CHANGE)</f>
        <v>17-1</v>
      </c>
      <c r="W33" s="2252"/>
      <c r="X33" s="2252"/>
      <c r="Y33" s="2252"/>
      <c r="Z33" s="2252"/>
      <c r="AA33" s="2252"/>
      <c r="AB33" s="2252"/>
      <c r="AC33" s="2252"/>
      <c r="AD33" s="2252"/>
      <c r="AE33" s="2252"/>
      <c r="AF33" s="327"/>
      <c r="AG33" s="2252" t="str">
        <f>IF(TITLE_NUMBER_PR_CHANGE="",IF(TITLE_NUMBER_PR="","",TITLE_NUMBER_PR),TITLE_NUMBER_PR_CHANGE)</f>
        <v>17-1</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457</v>
      </c>
      <c r="AG34" s="327"/>
      <c r="AH34" s="1636"/>
      <c r="AI34" s="1636"/>
      <c r="AJ34" s="1636"/>
      <c r="AK34" s="1636"/>
      <c r="AL34" s="1636"/>
      <c r="AM34" s="327"/>
      <c r="AN34" s="327"/>
      <c r="AO34" s="327"/>
      <c r="AP34" s="327"/>
      <c r="AQ34" s="279" t="s">
        <v>457</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333</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334</v>
      </c>
      <c r="AY36" s="1156">
        <v>14</v>
      </c>
    </row>
    <row customHeight="1" ht="14.699999999999998">
      <c r="Q37" s="377"/>
      <c r="R37" s="377"/>
      <c r="S37" s="2274" t="s">
        <v>91</v>
      </c>
      <c r="T37" s="2210" t="s">
        <v>458</v>
      </c>
      <c r="U37" s="302"/>
      <c r="V37" s="2275" t="s">
        <v>459</v>
      </c>
      <c r="W37" s="2292"/>
      <c r="X37" s="2292"/>
      <c r="Y37" s="2292"/>
      <c r="Z37" s="2292"/>
      <c r="AA37" s="2292"/>
      <c r="AB37" s="2292"/>
      <c r="AC37" s="2276"/>
      <c r="AD37" s="2276"/>
      <c r="AE37" s="2277"/>
      <c r="AF37" s="2278" t="s">
        <v>460</v>
      </c>
      <c r="AG37" s="2275" t="s">
        <v>459</v>
      </c>
      <c r="AH37" s="2276"/>
      <c r="AI37" s="2276"/>
      <c r="AJ37" s="2276"/>
      <c r="AK37" s="2276"/>
      <c r="AL37" s="2276"/>
      <c r="AM37" s="2276"/>
      <c r="AN37" s="2276"/>
      <c r="AO37" s="2276"/>
      <c r="AP37" s="2277"/>
      <c r="AQ37" s="2278" t="s">
        <v>461</v>
      </c>
      <c r="AR37" s="2281" t="s">
        <v>462</v>
      </c>
      <c r="AS37" s="2128"/>
      <c r="AY37" s="1156">
        <v>14</v>
      </c>
    </row>
    <row customHeight="1" ht="19.95">
      <c r="Q38" s="377"/>
      <c r="R38" s="377"/>
      <c r="S38" s="2274"/>
      <c r="T38" s="2210"/>
      <c r="U38" s="1032"/>
      <c r="V38" s="2367" t="s">
        <v>565</v>
      </c>
      <c r="W38" s="2366" t="s">
        <v>566</v>
      </c>
      <c r="X38" s="2366"/>
      <c r="Y38" s="2366"/>
      <c r="Z38" s="2366" t="s">
        <v>567</v>
      </c>
      <c r="AA38" s="2366"/>
      <c r="AB38" s="2366"/>
      <c r="AC38" s="2295" t="s">
        <v>466</v>
      </c>
      <c r="AD38" s="2314"/>
      <c r="AE38" s="2315"/>
      <c r="AF38" s="2279"/>
      <c r="AG38" s="2367" t="s">
        <v>565</v>
      </c>
      <c r="AH38" s="2366" t="s">
        <v>566</v>
      </c>
      <c r="AI38" s="2366"/>
      <c r="AJ38" s="2366"/>
      <c r="AK38" s="2366" t="s">
        <v>567</v>
      </c>
      <c r="AL38" s="2366"/>
      <c r="AM38" s="2366"/>
      <c r="AN38" s="2295" t="s">
        <v>466</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568</v>
      </c>
      <c r="X39" s="2366" t="s">
        <v>569</v>
      </c>
      <c r="Y39" s="2366"/>
      <c r="Z39" s="2366" t="s">
        <v>570</v>
      </c>
      <c r="AA39" s="2366" t="s">
        <v>569</v>
      </c>
      <c r="AB39" s="2366"/>
      <c r="AC39" s="2296"/>
      <c r="AD39" s="2316"/>
      <c r="AE39" s="2317"/>
      <c r="AF39" s="2279"/>
      <c r="AG39" s="2367"/>
      <c r="AH39" s="2366" t="s">
        <v>568</v>
      </c>
      <c r="AI39" s="2366" t="s">
        <v>569</v>
      </c>
      <c r="AJ39" s="2366"/>
      <c r="AK39" s="2366" t="s">
        <v>570</v>
      </c>
      <c r="AL39" s="2366" t="s">
        <v>569</v>
      </c>
      <c r="AM39" s="2366"/>
      <c r="AN39" s="2296"/>
      <c r="AO39" s="2316"/>
      <c r="AP39" s="2317"/>
      <c r="AQ39" s="2279"/>
      <c r="AR39" s="2282"/>
      <c r="AS39" s="2128"/>
      <c r="AT39" s="1637"/>
      <c r="AU39" s="1637"/>
      <c r="AV39" s="1637"/>
      <c r="AW39" s="1637"/>
      <c r="AX39" s="1637"/>
      <c r="AY39" s="1632">
        <v>19</v>
      </c>
    </row>
    <row customHeight="1" ht="61.949999999999996">
      <c r="A40" s="1371"/>
      <c r="B40" s="1371" t="s">
        <v>149</v>
      </c>
      <c r="C40" s="1371" t="s">
        <v>150</v>
      </c>
      <c r="D40" s="1371" t="s">
        <v>151</v>
      </c>
      <c r="E40" s="1365" t="s">
        <v>467</v>
      </c>
      <c r="F40" s="1365" t="s">
        <v>468</v>
      </c>
      <c r="G40" s="1365" t="s">
        <v>469</v>
      </c>
      <c r="H40" s="1365"/>
      <c r="I40" s="1365" t="s">
        <v>523</v>
      </c>
      <c r="J40" s="1365" t="s">
        <v>472</v>
      </c>
      <c r="K40" s="1365" t="s">
        <v>524</v>
      </c>
      <c r="L40" s="1365" t="s">
        <v>448</v>
      </c>
      <c r="Q40" s="377"/>
      <c r="R40" s="377"/>
      <c r="S40" s="2274"/>
      <c r="T40" s="2210"/>
      <c r="U40" s="303"/>
      <c r="V40" s="2367"/>
      <c r="W40" s="2366"/>
      <c r="X40" s="1984" t="s">
        <v>571</v>
      </c>
      <c r="Y40" s="1984" t="s">
        <v>572</v>
      </c>
      <c r="Z40" s="2366"/>
      <c r="AA40" s="1984" t="s">
        <v>573</v>
      </c>
      <c r="AB40" s="1984" t="s">
        <v>574</v>
      </c>
      <c r="AC40" s="1490" t="s">
        <v>476</v>
      </c>
      <c r="AD40" s="2271" t="s">
        <v>477</v>
      </c>
      <c r="AE40" s="2272"/>
      <c r="AF40" s="2280"/>
      <c r="AG40" s="2367"/>
      <c r="AH40" s="2366"/>
      <c r="AI40" s="1984" t="s">
        <v>571</v>
      </c>
      <c r="AJ40" s="1984" t="s">
        <v>572</v>
      </c>
      <c r="AK40" s="2366"/>
      <c r="AL40" s="1984" t="s">
        <v>573</v>
      </c>
      <c r="AM40" s="1984" t="s">
        <v>574</v>
      </c>
      <c r="AN40" s="1490" t="s">
        <v>476</v>
      </c>
      <c r="AO40" s="2271" t="s">
        <v>477</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124</v>
      </c>
      <c r="T41" s="1256" t="s">
        <v>107</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284</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137</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284</v>
      </c>
      <c r="B43" s="1364" t="s">
        <v>285</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430</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431</v>
      </c>
      <c r="AU43" s="501"/>
      <c r="AV43" s="501" t="str">
        <f>IF(T43="","",T43)</f>
        <v>Территория действия тарифа</v>
      </c>
      <c r="AW43" s="501"/>
      <c r="AX43" s="501"/>
      <c r="AY43" s="1156">
        <v>23</v>
      </c>
    </row>
    <row customHeight="1" ht="24">
      <c r="A44" s="1364" t="s">
        <v>284</v>
      </c>
      <c r="B44" s="1364" t="s">
        <v>285</v>
      </c>
      <c r="C44" s="1364" t="s">
        <v>286</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563</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564</v>
      </c>
      <c r="AU44" s="501"/>
      <c r="AV44" s="501" t="str">
        <f>IF(T44="","",T44)</f>
        <v>Наименование централизованной системы горячего водоснабжения</v>
      </c>
      <c r="AW44" s="501"/>
      <c r="AX44" s="501"/>
      <c r="AY44" s="1156">
        <v>23</v>
      </c>
    </row>
    <row customHeight="1" ht="24">
      <c r="A45" s="1364" t="s">
        <v>284</v>
      </c>
      <c r="B45" s="1364" t="s">
        <v>285</v>
      </c>
      <c r="C45" s="1364" t="s">
        <v>286</v>
      </c>
      <c r="D45" s="1364" t="s">
        <v>575</v>
      </c>
      <c r="E45" s="2260"/>
      <c r="F45" s="2260"/>
      <c r="G45" s="2260"/>
      <c r="H45" s="2260"/>
      <c r="I45" s="2257" t="str">
        <f>S44&amp;".1"</f>
        <v>...1</v>
      </c>
      <c r="J45" s="1364"/>
      <c r="K45" s="1364"/>
      <c r="L45" s="1365"/>
      <c r="P45" s="2258">
        <v>1</v>
      </c>
      <c r="Q45" s="1482"/>
      <c r="R45" s="357"/>
      <c r="S45" s="1494" t="str">
        <f>$I45</f>
        <v>...1</v>
      </c>
      <c r="T45" s="286" t="s">
        <v>516</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517</v>
      </c>
      <c r="AU45" s="501"/>
      <c r="AV45" s="501" t="str">
        <f>IF(T45="","",T45)</f>
        <v>Наименование признака дифференциации</v>
      </c>
      <c r="AW45" s="501"/>
      <c r="AX45" s="501"/>
      <c r="AY45" s="1156">
        <v>23</v>
      </c>
    </row>
    <row customHeight="1" ht="24">
      <c r="A46" s="1364" t="s">
        <v>284</v>
      </c>
      <c r="B46" s="1364" t="s">
        <v>285</v>
      </c>
      <c r="C46" s="1364" t="s">
        <v>286</v>
      </c>
      <c r="D46" s="1364" t="s">
        <v>575</v>
      </c>
      <c r="E46" s="2260"/>
      <c r="F46" s="2260"/>
      <c r="G46" s="2260"/>
      <c r="H46" s="2260"/>
      <c r="I46" s="2287"/>
      <c r="J46" s="2257" t="str">
        <f>I45&amp;".1"</f>
        <v>...1.1</v>
      </c>
      <c r="K46" s="1364"/>
      <c r="L46" s="1365" t="s">
        <v>439</v>
      </c>
      <c r="P46" s="2258"/>
      <c r="Q46" s="2258">
        <v>1</v>
      </c>
      <c r="R46" s="358"/>
      <c r="S46" s="1494" t="str">
        <f>$J46</f>
        <v>...1.1</v>
      </c>
      <c r="T46" s="287" t="s">
        <v>440</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518</v>
      </c>
      <c r="AU46" s="501"/>
      <c r="AV46" s="501" t="str">
        <f>IF(T46="","",T46)</f>
        <v>Группа потребителей</v>
      </c>
      <c r="AW46" s="501"/>
      <c r="AX46" s="501"/>
      <c r="AY46" s="1156">
        <v>23</v>
      </c>
    </row>
    <row customHeight="1" ht="24">
      <c r="A47" s="1364" t="s">
        <v>284</v>
      </c>
      <c r="B47" s="1364" t="s">
        <v>285</v>
      </c>
      <c r="C47" s="1364" t="s">
        <v>286</v>
      </c>
      <c r="D47" s="1364" t="s">
        <v>575</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64</v>
      </c>
      <c r="AE47" s="2268"/>
      <c r="AF47" s="2269" t="s">
        <v>64</v>
      </c>
      <c r="AG47" s="752"/>
      <c r="AH47" s="752"/>
      <c r="AI47" s="752"/>
      <c r="AJ47" s="752"/>
      <c r="AK47" s="752"/>
      <c r="AL47" s="752"/>
      <c r="AM47" s="752"/>
      <c r="AN47" s="2266"/>
      <c r="AO47" s="2108" t="s">
        <v>64</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284</v>
      </c>
      <c r="B48" s="1364" t="s">
        <v>285</v>
      </c>
      <c r="C48" s="1364" t="s">
        <v>286</v>
      </c>
      <c r="D48" s="1364" t="s">
        <v>575</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284</v>
      </c>
      <c r="B49" s="1364" t="s">
        <v>285</v>
      </c>
      <c r="C49" s="1364" t="s">
        <v>286</v>
      </c>
      <c r="D49" s="1364" t="s">
        <v>575</v>
      </c>
      <c r="E49" s="2260"/>
      <c r="F49" s="2260"/>
      <c r="G49" s="2260"/>
      <c r="H49" s="2260"/>
      <c r="I49" s="2287"/>
      <c r="J49" s="2257"/>
      <c r="K49" s="1364"/>
      <c r="L49" s="1365"/>
      <c r="P49" s="2258"/>
      <c r="Q49" s="2258"/>
      <c r="R49" s="357"/>
      <c r="S49" s="1279"/>
      <c r="T49" s="288" t="s">
        <v>519</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520</v>
      </c>
      <c r="AU49" s="501"/>
      <c r="AV49" s="501" t="str">
        <f>IF(T49="","",T49)</f>
        <v>Добавить значение признака дифференциации</v>
      </c>
      <c r="AW49" s="501"/>
      <c r="AX49" s="501"/>
      <c r="AY49" s="1156">
        <v>20</v>
      </c>
    </row>
    <row customHeight="1" ht="22.049999999999997">
      <c r="A50" s="1364" t="s">
        <v>284</v>
      </c>
      <c r="B50" s="1364" t="s">
        <v>285</v>
      </c>
      <c r="C50" s="1364" t="s">
        <v>286</v>
      </c>
      <c r="D50" s="1364" t="s">
        <v>575</v>
      </c>
      <c r="E50" s="2260"/>
      <c r="F50" s="2260"/>
      <c r="G50" s="2260"/>
      <c r="H50" s="2260"/>
      <c r="I50" s="2257"/>
      <c r="J50" s="1364"/>
      <c r="K50" s="1364"/>
      <c r="L50" s="1365"/>
      <c r="P50" s="2258"/>
      <c r="Q50" s="1482"/>
      <c r="R50" s="357"/>
      <c r="S50" s="1279"/>
      <c r="T50" s="366" t="s">
        <v>445</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284</v>
      </c>
      <c r="B51" s="1364" t="s">
        <v>285</v>
      </c>
      <c r="C51" s="1364" t="s">
        <v>286</v>
      </c>
      <c r="D51" s="1364" t="s">
        <v>575</v>
      </c>
      <c r="E51" s="2260"/>
      <c r="F51" s="2260"/>
      <c r="G51" s="2260"/>
      <c r="H51" s="2259"/>
      <c r="I51" s="1364"/>
      <c r="J51" s="1364"/>
      <c r="K51" s="1364"/>
      <c r="L51" s="1365"/>
      <c r="M51" s="1366"/>
      <c r="N51" s="1366"/>
      <c r="O51" s="538"/>
      <c r="P51" s="361"/>
      <c r="Q51" s="376"/>
      <c r="R51" s="356"/>
      <c r="S51" s="1279"/>
      <c r="T51" s="373" t="s">
        <v>521</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284</v>
      </c>
      <c r="B52" s="1344" t="s">
        <v>285</v>
      </c>
      <c r="C52" s="1315"/>
      <c r="D52" s="1315"/>
      <c r="E52" s="2260"/>
      <c r="F52" s="2259"/>
      <c r="G52" s="1315"/>
      <c r="H52" s="1315"/>
      <c r="I52" s="1315"/>
      <c r="J52" s="1315"/>
      <c r="K52" s="1315"/>
      <c r="L52" s="1495"/>
      <c r="M52" s="1322"/>
      <c r="N52" s="1322"/>
      <c r="P52" s="1317"/>
      <c r="Q52" s="1318"/>
      <c r="R52" s="1317"/>
      <c r="S52" s="1323"/>
      <c r="T52" s="1326" t="s">
        <v>219</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284</v>
      </c>
      <c r="B53" s="1344"/>
      <c r="C53" s="1344"/>
      <c r="D53" s="1344"/>
      <c r="E53" s="2259"/>
      <c r="F53" s="1344"/>
      <c r="G53" s="1344"/>
      <c r="H53" s="1344"/>
      <c r="I53" s="1344"/>
      <c r="J53" s="1344"/>
      <c r="K53" s="1344"/>
      <c r="L53" s="1347"/>
      <c r="M53" s="1322"/>
      <c r="N53" s="1322"/>
      <c r="O53" s="519"/>
      <c r="P53" s="381"/>
      <c r="Q53" s="1345"/>
      <c r="R53" s="381"/>
      <c r="S53" s="1323"/>
      <c r="T53" s="1326" t="s">
        <v>227</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236</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85</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47063E-AD58-B957-5A37-3779EA41DDE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137</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430</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431</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563</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564</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516</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517</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439</v>
      </c>
      <c r="P6" s="2258"/>
      <c r="Q6" s="2258">
        <v>1</v>
      </c>
      <c r="R6" s="358"/>
      <c r="S6" s="1494">
        <f>$J6</f>
      </c>
      <c r="T6" s="287" t="s">
        <v>440</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518</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64</v>
      </c>
      <c r="AE7" s="2266"/>
      <c r="AF7" s="2108" t="s">
        <v>64</v>
      </c>
      <c r="AG7" s="752"/>
      <c r="AH7" s="752"/>
      <c r="AI7" s="752"/>
      <c r="AJ7" s="752"/>
      <c r="AK7" s="752"/>
      <c r="AL7" s="752"/>
      <c r="AM7" s="1258"/>
      <c r="AN7" s="2266"/>
      <c r="AO7" s="2108" t="s">
        <v>64</v>
      </c>
      <c r="AP7" s="2288"/>
      <c r="AQ7" s="2108" t="s">
        <v>64</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519</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520</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445</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521</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219</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227</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64</v>
      </c>
      <c r="AP15" s="2268"/>
      <c r="AQ15" s="2269" t="s">
        <v>64</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447</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448</v>
      </c>
      <c r="P20" s="1363"/>
      <c r="Q20" s="1443"/>
      <c r="R20" s="1443"/>
      <c r="S20" s="730"/>
      <c r="T20" s="1161" t="s">
        <v>449</v>
      </c>
      <c r="W20" s="1367"/>
      <c r="X20" s="1367"/>
      <c r="Y20" s="1367"/>
      <c r="Z20" s="1367"/>
      <c r="AA20" s="1367"/>
      <c r="AD20" s="187" t="s">
        <v>450</v>
      </c>
      <c r="AF20" s="187" t="s">
        <v>451</v>
      </c>
      <c r="AG20" s="1161" t="s">
        <v>449</v>
      </c>
      <c r="AH20" s="1367"/>
      <c r="AI20" s="1367"/>
      <c r="AJ20" s="1367"/>
      <c r="AK20" s="1367"/>
      <c r="AL20" s="1367"/>
      <c r="AO20" s="187" t="s">
        <v>452</v>
      </c>
      <c r="AQ20" s="187" t="s">
        <v>451</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КГУП "Примтеплоэнерго"</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Агентство по тарифам Приморского края</v>
      </c>
      <c r="W27" s="2252"/>
      <c r="X27" s="2252"/>
      <c r="Y27" s="2252"/>
      <c r="Z27" s="2252"/>
      <c r="AA27" s="2252"/>
      <c r="AB27" s="2252"/>
      <c r="AC27" s="2252"/>
      <c r="AD27" s="2252"/>
      <c r="AE27" s="2252"/>
      <c r="AF27" s="327"/>
      <c r="AG27" s="2252" t="str">
        <f>IF(TITLE_NAME_OR_PR_CHANGE="",IF(TITLE_NAME_OR_PR="","",TITLE_NAME_OR_PR),TITLE_NAME_OR_PR_CHANGE)</f>
        <v>Агентство по тарифам Приморского края</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c r="A28" s="1369"/>
      <c r="B28" s="1369"/>
      <c r="C28" s="1369"/>
      <c r="D28" s="1369"/>
      <c r="E28" s="1369"/>
      <c r="F28" s="1369"/>
      <c r="G28" s="1369"/>
      <c r="H28" s="1369"/>
      <c r="I28" s="1369"/>
      <c r="J28" s="1369"/>
      <c r="K28" s="1369"/>
      <c r="L28" s="1370"/>
      <c r="M28" s="1369"/>
      <c r="N28" s="1369"/>
      <c r="O28" s="1369"/>
      <c r="S28" s="2251" t="s">
        <v>453</v>
      </c>
      <c r="T28" s="2251"/>
      <c r="U28" s="1373"/>
      <c r="V28" s="2265" t="str">
        <f>IF(TITLE_DATE_PR_CHANGE="",IF(TITLE_DATE_PR="","",TITLE_DATE_PR),TITLE_DATE_PR_CHANGE)</f>
        <v>45777.43633101852</v>
      </c>
      <c r="W28" s="2265"/>
      <c r="X28" s="2265"/>
      <c r="Y28" s="2265"/>
      <c r="Z28" s="2265"/>
      <c r="AA28" s="2265"/>
      <c r="AB28" s="2265"/>
      <c r="AC28" s="2265"/>
      <c r="AD28" s="2265"/>
      <c r="AE28" s="2265"/>
      <c r="AF28" s="327"/>
      <c r="AG28" s="2265" t="str">
        <f>IF(TITLE_DATE_PR_CHANGE="",IF(TITLE_DATE_PR="","",TITLE_DATE_PR),TITLE_DATE_PR_CHANGE)</f>
        <v>45777.43633101852</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c r="A29" s="1369"/>
      <c r="B29" s="1369"/>
      <c r="C29" s="1369"/>
      <c r="D29" s="1369"/>
      <c r="E29" s="1369"/>
      <c r="F29" s="1369"/>
      <c r="G29" s="1369"/>
      <c r="H29" s="1369"/>
      <c r="I29" s="1369"/>
      <c r="J29" s="1369"/>
      <c r="K29" s="1369"/>
      <c r="L29" s="1370"/>
      <c r="M29" s="1369"/>
      <c r="N29" s="1369"/>
      <c r="O29" s="1369"/>
      <c r="S29" s="2251" t="s">
        <v>454</v>
      </c>
      <c r="T29" s="2251"/>
      <c r="U29" s="1373"/>
      <c r="V29" s="2252" t="str">
        <f>IF(TITLE_NUMBER_PR_CHANGE="",IF(TITLE_NUMBER_PR="","",TITLE_NUMBER_PR),TITLE_NUMBER_PR_CHANGE)</f>
        <v>17-1</v>
      </c>
      <c r="W29" s="2252"/>
      <c r="X29" s="2252"/>
      <c r="Y29" s="2252"/>
      <c r="Z29" s="2252"/>
      <c r="AA29" s="2252"/>
      <c r="AB29" s="2252"/>
      <c r="AC29" s="2252"/>
      <c r="AD29" s="2252"/>
      <c r="AE29" s="2252"/>
      <c r="AF29" s="327"/>
      <c r="AG29" s="2252" t="str">
        <f>IF(TITLE_NUMBER_PR_CHANGE="",IF(TITLE_NUMBER_PR="","",TITLE_NUMBER_PR),TITLE_NUMBER_PR_CHANGE)</f>
        <v>17-1</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http://pravo.gov.ru</v>
      </c>
      <c r="W30" s="2252"/>
      <c r="X30" s="2252"/>
      <c r="Y30" s="2252"/>
      <c r="Z30" s="2252"/>
      <c r="AA30" s="2252"/>
      <c r="AB30" s="2252"/>
      <c r="AC30" s="2252"/>
      <c r="AD30" s="2252"/>
      <c r="AE30" s="2252"/>
      <c r="AF30" s="327"/>
      <c r="AG30" s="2252" t="str">
        <f>IF(TITLE_IST_PUB_CHANGE="",IF(TITLE_IST_PUB="","",TITLE_IST_PUB),TITLE_IST_PUB_CHANGE)</f>
        <v>http://pravo.gov.ru</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455</v>
      </c>
      <c r="T32" s="2251"/>
      <c r="U32" s="1373"/>
      <c r="V32" s="2265" t="str">
        <f>IF(TITLE_DATE_PR_CHANGE="",IF(TITLE_DATE_PR="","",TITLE_DATE_PR),TITLE_DATE_PR_CHANGE)</f>
        <v>45777.43633101852</v>
      </c>
      <c r="W32" s="2265"/>
      <c r="X32" s="2265"/>
      <c r="Y32" s="2265"/>
      <c r="Z32" s="2265"/>
      <c r="AA32" s="2265"/>
      <c r="AB32" s="2265"/>
      <c r="AC32" s="2265"/>
      <c r="AD32" s="2265"/>
      <c r="AE32" s="2265"/>
      <c r="AF32" s="327"/>
      <c r="AG32" s="2265" t="str">
        <f>IF(TITLE_DATE_PR_CHANGE="",IF(TITLE_DATE_PR="","",TITLE_DATE_PR),TITLE_DATE_PR_CHANGE)</f>
        <v>45777.43633101852</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456</v>
      </c>
      <c r="T33" s="2251"/>
      <c r="U33" s="1373"/>
      <c r="V33" s="2252" t="str">
        <f>IF(TITLE_NUMBER_PR_CHANGE="",IF(TITLE_NUMBER_PR="","",TITLE_NUMBER_PR),TITLE_NUMBER_PR_CHANGE)</f>
        <v>17-1</v>
      </c>
      <c r="W33" s="2252"/>
      <c r="X33" s="2252"/>
      <c r="Y33" s="2252"/>
      <c r="Z33" s="2252"/>
      <c r="AA33" s="2252"/>
      <c r="AB33" s="2252"/>
      <c r="AC33" s="2252"/>
      <c r="AD33" s="2252"/>
      <c r="AE33" s="2252"/>
      <c r="AF33" s="327"/>
      <c r="AG33" s="2252" t="str">
        <f>IF(TITLE_NUMBER_PR_CHANGE="",IF(TITLE_NUMBER_PR="","",TITLE_NUMBER_PR),TITLE_NUMBER_PR_CHANGE)</f>
        <v>17-1</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457</v>
      </c>
      <c r="AG34" s="327"/>
      <c r="AH34" s="1636"/>
      <c r="AI34" s="1636"/>
      <c r="AJ34" s="1636"/>
      <c r="AK34" s="1636"/>
      <c r="AL34" s="1636"/>
      <c r="AM34" s="327"/>
      <c r="AN34" s="327"/>
      <c r="AO34" s="327"/>
      <c r="AP34" s="327"/>
      <c r="AQ34" s="279" t="s">
        <v>457</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333</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334</v>
      </c>
      <c r="AY36" s="1156">
        <v>14</v>
      </c>
    </row>
    <row customHeight="1" ht="14.699999999999998">
      <c r="Q37" s="377"/>
      <c r="R37" s="377"/>
      <c r="S37" s="2274" t="s">
        <v>91</v>
      </c>
      <c r="T37" s="2210" t="s">
        <v>458</v>
      </c>
      <c r="U37" s="302"/>
      <c r="V37" s="2275" t="s">
        <v>459</v>
      </c>
      <c r="W37" s="2276"/>
      <c r="X37" s="2276"/>
      <c r="Y37" s="2276"/>
      <c r="Z37" s="2276"/>
      <c r="AA37" s="2276"/>
      <c r="AB37" s="2276"/>
      <c r="AC37" s="2276"/>
      <c r="AD37" s="2276"/>
      <c r="AE37" s="2277"/>
      <c r="AF37" s="2278" t="s">
        <v>460</v>
      </c>
      <c r="AG37" s="2275" t="s">
        <v>459</v>
      </c>
      <c r="AH37" s="2276"/>
      <c r="AI37" s="2276"/>
      <c r="AJ37" s="2276"/>
      <c r="AK37" s="2276"/>
      <c r="AL37" s="2276"/>
      <c r="AM37" s="2276"/>
      <c r="AN37" s="2276"/>
      <c r="AO37" s="2276"/>
      <c r="AP37" s="2277"/>
      <c r="AQ37" s="2278" t="s">
        <v>461</v>
      </c>
      <c r="AR37" s="2281" t="s">
        <v>462</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565</v>
      </c>
      <c r="W38" s="2366" t="s">
        <v>566</v>
      </c>
      <c r="X38" s="2366"/>
      <c r="Y38" s="2366"/>
      <c r="Z38" s="2366" t="s">
        <v>567</v>
      </c>
      <c r="AA38" s="2366"/>
      <c r="AB38" s="2366"/>
      <c r="AC38" s="2295" t="s">
        <v>466</v>
      </c>
      <c r="AD38" s="2314"/>
      <c r="AE38" s="2315"/>
      <c r="AF38" s="2279"/>
      <c r="AG38" s="2367" t="s">
        <v>565</v>
      </c>
      <c r="AH38" s="2366" t="s">
        <v>566</v>
      </c>
      <c r="AI38" s="2366"/>
      <c r="AJ38" s="2366"/>
      <c r="AK38" s="2366" t="s">
        <v>567</v>
      </c>
      <c r="AL38" s="2366"/>
      <c r="AM38" s="2366"/>
      <c r="AN38" s="2295" t="s">
        <v>466</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568</v>
      </c>
      <c r="X39" s="2366" t="s">
        <v>569</v>
      </c>
      <c r="Y39" s="2366"/>
      <c r="Z39" s="2366" t="s">
        <v>570</v>
      </c>
      <c r="AA39" s="2366" t="s">
        <v>569</v>
      </c>
      <c r="AB39" s="2366"/>
      <c r="AC39" s="2296"/>
      <c r="AD39" s="2316"/>
      <c r="AE39" s="2317"/>
      <c r="AF39" s="2279"/>
      <c r="AG39" s="2367"/>
      <c r="AH39" s="2366" t="s">
        <v>568</v>
      </c>
      <c r="AI39" s="2366" t="s">
        <v>569</v>
      </c>
      <c r="AJ39" s="2366"/>
      <c r="AK39" s="2366" t="s">
        <v>570</v>
      </c>
      <c r="AL39" s="2366" t="s">
        <v>569</v>
      </c>
      <c r="AM39" s="2366"/>
      <c r="AN39" s="2296"/>
      <c r="AO39" s="2316"/>
      <c r="AP39" s="2317"/>
      <c r="AQ39" s="2279"/>
      <c r="AR39" s="2282"/>
      <c r="AS39" s="2128"/>
      <c r="AY39" s="1156">
        <v>19</v>
      </c>
    </row>
    <row customHeight="1" ht="61.949999999999996">
      <c r="A40" s="1371"/>
      <c r="B40" s="1371" t="s">
        <v>149</v>
      </c>
      <c r="C40" s="1371" t="s">
        <v>150</v>
      </c>
      <c r="D40" s="1371" t="s">
        <v>151</v>
      </c>
      <c r="E40" s="1365" t="s">
        <v>467</v>
      </c>
      <c r="F40" s="1365" t="s">
        <v>468</v>
      </c>
      <c r="G40" s="1365" t="s">
        <v>469</v>
      </c>
      <c r="H40" s="1365"/>
      <c r="I40" s="1365" t="s">
        <v>523</v>
      </c>
      <c r="J40" s="1365" t="s">
        <v>472</v>
      </c>
      <c r="K40" s="1365" t="s">
        <v>524</v>
      </c>
      <c r="L40" s="1365" t="s">
        <v>448</v>
      </c>
      <c r="Q40" s="377"/>
      <c r="R40" s="377"/>
      <c r="S40" s="2274"/>
      <c r="T40" s="2210"/>
      <c r="U40" s="303"/>
      <c r="V40" s="2367"/>
      <c r="W40" s="2366"/>
      <c r="X40" s="1984" t="s">
        <v>571</v>
      </c>
      <c r="Y40" s="1984" t="s">
        <v>572</v>
      </c>
      <c r="Z40" s="2366"/>
      <c r="AA40" s="1984" t="s">
        <v>573</v>
      </c>
      <c r="AB40" s="1984" t="s">
        <v>574</v>
      </c>
      <c r="AC40" s="1490" t="s">
        <v>476</v>
      </c>
      <c r="AD40" s="2271" t="s">
        <v>477</v>
      </c>
      <c r="AE40" s="2272"/>
      <c r="AF40" s="2280"/>
      <c r="AG40" s="2367"/>
      <c r="AH40" s="2366"/>
      <c r="AI40" s="1984" t="s">
        <v>571</v>
      </c>
      <c r="AJ40" s="1984" t="s">
        <v>572</v>
      </c>
      <c r="AK40" s="2366"/>
      <c r="AL40" s="1984" t="s">
        <v>573</v>
      </c>
      <c r="AM40" s="1984" t="s">
        <v>574</v>
      </c>
      <c r="AN40" s="1490" t="s">
        <v>476</v>
      </c>
      <c r="AO40" s="2271" t="s">
        <v>477</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124</v>
      </c>
      <c r="T41" s="1256" t="s">
        <v>107</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289</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137</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289</v>
      </c>
      <c r="B43" s="1364" t="s">
        <v>290</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430</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431</v>
      </c>
      <c r="AU43" s="501"/>
      <c r="AV43" s="501" t="str">
        <f>IF(T43="","",T43)</f>
        <v>Территория действия тарифа</v>
      </c>
      <c r="AW43" s="501"/>
      <c r="AX43" s="501"/>
      <c r="AY43" s="1156">
        <v>23</v>
      </c>
    </row>
    <row customHeight="1" ht="24">
      <c r="A44" s="1364" t="s">
        <v>289</v>
      </c>
      <c r="B44" s="1364" t="s">
        <v>290</v>
      </c>
      <c r="C44" s="1364" t="s">
        <v>291</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563</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564</v>
      </c>
      <c r="AU44" s="501"/>
      <c r="AV44" s="501" t="str">
        <f>IF(T44="","",T44)</f>
        <v>Наименование централизованной системы горячего водоснабжения</v>
      </c>
      <c r="AW44" s="501"/>
      <c r="AX44" s="501"/>
      <c r="AY44" s="1156">
        <v>23</v>
      </c>
    </row>
    <row customHeight="1" ht="24">
      <c r="A45" s="1364" t="s">
        <v>289</v>
      </c>
      <c r="B45" s="1364" t="s">
        <v>290</v>
      </c>
      <c r="C45" s="1364" t="s">
        <v>291</v>
      </c>
      <c r="D45" s="1364" t="s">
        <v>576</v>
      </c>
      <c r="E45" s="2260"/>
      <c r="F45" s="2260"/>
      <c r="G45" s="2260"/>
      <c r="H45" s="2260"/>
      <c r="I45" s="2257" t="str">
        <f>S44&amp;".1"</f>
        <v>...1</v>
      </c>
      <c r="J45" s="1364"/>
      <c r="K45" s="1364"/>
      <c r="L45" s="1365"/>
      <c r="P45" s="2258">
        <v>1</v>
      </c>
      <c r="Q45" s="1482"/>
      <c r="R45" s="357"/>
      <c r="S45" s="1494" t="str">
        <f>$I45</f>
        <v>...1</v>
      </c>
      <c r="T45" s="286" t="s">
        <v>516</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517</v>
      </c>
      <c r="AU45" s="501"/>
      <c r="AV45" s="501" t="str">
        <f>IF(T45="","",T45)</f>
        <v>Наименование признака дифференциации</v>
      </c>
      <c r="AW45" s="501"/>
      <c r="AX45" s="501"/>
      <c r="AY45" s="1156">
        <v>23</v>
      </c>
    </row>
    <row customHeight="1" ht="24">
      <c r="A46" s="1364" t="s">
        <v>289</v>
      </c>
      <c r="B46" s="1364" t="s">
        <v>290</v>
      </c>
      <c r="C46" s="1364" t="s">
        <v>291</v>
      </c>
      <c r="D46" s="1364" t="s">
        <v>576</v>
      </c>
      <c r="E46" s="2260"/>
      <c r="F46" s="2260"/>
      <c r="G46" s="2260"/>
      <c r="H46" s="2260"/>
      <c r="I46" s="2287"/>
      <c r="J46" s="2257" t="str">
        <f>I45&amp;".1"</f>
        <v>...1.1</v>
      </c>
      <c r="K46" s="1364"/>
      <c r="L46" s="1365" t="s">
        <v>439</v>
      </c>
      <c r="P46" s="2258"/>
      <c r="Q46" s="2258">
        <v>1</v>
      </c>
      <c r="R46" s="358"/>
      <c r="S46" s="1494" t="str">
        <f>$J46</f>
        <v>...1.1</v>
      </c>
      <c r="T46" s="287" t="s">
        <v>440</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518</v>
      </c>
      <c r="AU46" s="501"/>
      <c r="AV46" s="501" t="str">
        <f>IF(T46="","",T46)</f>
        <v>Группа потребителей</v>
      </c>
      <c r="AW46" s="501"/>
      <c r="AX46" s="501"/>
      <c r="AY46" s="1156">
        <v>23</v>
      </c>
    </row>
    <row customHeight="1" ht="24">
      <c r="A47" s="1364" t="s">
        <v>289</v>
      </c>
      <c r="B47" s="1364" t="s">
        <v>290</v>
      </c>
      <c r="C47" s="1364" t="s">
        <v>291</v>
      </c>
      <c r="D47" s="1364" t="s">
        <v>576</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64</v>
      </c>
      <c r="AE47" s="2268"/>
      <c r="AF47" s="2269" t="s">
        <v>64</v>
      </c>
      <c r="AG47" s="752"/>
      <c r="AH47" s="752"/>
      <c r="AI47" s="752"/>
      <c r="AJ47" s="752"/>
      <c r="AK47" s="752"/>
      <c r="AL47" s="752"/>
      <c r="AM47" s="1258"/>
      <c r="AN47" s="2266"/>
      <c r="AO47" s="2108" t="s">
        <v>64</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289</v>
      </c>
      <c r="B48" s="1364" t="s">
        <v>290</v>
      </c>
      <c r="C48" s="1364" t="s">
        <v>291</v>
      </c>
      <c r="D48" s="1364" t="s">
        <v>576</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289</v>
      </c>
      <c r="B49" s="1364" t="s">
        <v>290</v>
      </c>
      <c r="C49" s="1364" t="s">
        <v>291</v>
      </c>
      <c r="D49" s="1364" t="s">
        <v>576</v>
      </c>
      <c r="E49" s="2260"/>
      <c r="F49" s="2260"/>
      <c r="G49" s="2260"/>
      <c r="H49" s="2260"/>
      <c r="I49" s="2287"/>
      <c r="J49" s="2257"/>
      <c r="K49" s="1364"/>
      <c r="L49" s="1365"/>
      <c r="P49" s="2258"/>
      <c r="Q49" s="2258"/>
      <c r="R49" s="357"/>
      <c r="S49" s="1279"/>
      <c r="T49" s="288" t="s">
        <v>519</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520</v>
      </c>
      <c r="AU49" s="501"/>
      <c r="AV49" s="501" t="str">
        <f>IF(T49="","",T49)</f>
        <v>Добавить значение признака дифференциации</v>
      </c>
      <c r="AW49" s="501"/>
      <c r="AX49" s="501"/>
      <c r="AY49" s="1156">
        <v>20</v>
      </c>
    </row>
    <row customHeight="1" ht="22.049999999999997">
      <c r="A50" s="1364" t="s">
        <v>289</v>
      </c>
      <c r="B50" s="1364" t="s">
        <v>290</v>
      </c>
      <c r="C50" s="1364" t="s">
        <v>291</v>
      </c>
      <c r="D50" s="1364" t="s">
        <v>576</v>
      </c>
      <c r="E50" s="2260"/>
      <c r="F50" s="2260"/>
      <c r="G50" s="2260"/>
      <c r="H50" s="2260"/>
      <c r="I50" s="2257"/>
      <c r="J50" s="1364"/>
      <c r="K50" s="1364"/>
      <c r="L50" s="1365"/>
      <c r="P50" s="2258"/>
      <c r="Q50" s="1482"/>
      <c r="R50" s="357"/>
      <c r="S50" s="1279"/>
      <c r="T50" s="366" t="s">
        <v>445</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289</v>
      </c>
      <c r="B51" s="1364" t="s">
        <v>290</v>
      </c>
      <c r="C51" s="1364" t="s">
        <v>291</v>
      </c>
      <c r="D51" s="1364" t="s">
        <v>576</v>
      </c>
      <c r="E51" s="2260"/>
      <c r="F51" s="2260"/>
      <c r="G51" s="2260"/>
      <c r="H51" s="2259"/>
      <c r="I51" s="1364"/>
      <c r="J51" s="1364"/>
      <c r="K51" s="1364"/>
      <c r="L51" s="1365"/>
      <c r="M51" s="1366"/>
      <c r="N51" s="1366"/>
      <c r="O51" s="538"/>
      <c r="P51" s="361"/>
      <c r="Q51" s="376"/>
      <c r="R51" s="356"/>
      <c r="S51" s="1279"/>
      <c r="T51" s="373" t="s">
        <v>521</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289</v>
      </c>
      <c r="B52" s="1344" t="s">
        <v>290</v>
      </c>
      <c r="C52" s="1315"/>
      <c r="D52" s="1315"/>
      <c r="E52" s="2260"/>
      <c r="F52" s="2259"/>
      <c r="G52" s="1315"/>
      <c r="H52" s="1315"/>
      <c r="I52" s="1315"/>
      <c r="J52" s="1315"/>
      <c r="K52" s="1315"/>
      <c r="L52" s="1495"/>
      <c r="M52" s="1322"/>
      <c r="N52" s="1322"/>
      <c r="P52" s="1317"/>
      <c r="Q52" s="1318"/>
      <c r="R52" s="1317"/>
      <c r="S52" s="1323"/>
      <c r="T52" s="1326" t="s">
        <v>219</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289</v>
      </c>
      <c r="B53" s="1344"/>
      <c r="C53" s="1344"/>
      <c r="D53" s="1344"/>
      <c r="E53" s="2259"/>
      <c r="F53" s="1344"/>
      <c r="G53" s="1344"/>
      <c r="H53" s="1344"/>
      <c r="I53" s="1344"/>
      <c r="J53" s="1344"/>
      <c r="K53" s="1344"/>
      <c r="L53" s="1347"/>
      <c r="M53" s="1322"/>
      <c r="N53" s="1322"/>
      <c r="O53" s="519"/>
      <c r="P53" s="381"/>
      <c r="Q53" s="1345"/>
      <c r="R53" s="381"/>
      <c r="S53" s="1323"/>
      <c r="T53" s="1326" t="s">
        <v>227</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236</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85</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373618-1118-4ABD-ADE8-76D3E3F46B9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137</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430</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431</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563</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564</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435</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436</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64</v>
      </c>
      <c r="AB8" s="1735"/>
      <c r="AC8" s="1470" t="s">
        <v>64</v>
      </c>
      <c r="AD8" s="2186" t="s">
        <v>64</v>
      </c>
      <c r="AE8" s="2327"/>
      <c r="AF8" s="2206">
        <v>1</v>
      </c>
      <c r="AG8" s="2364"/>
      <c r="AH8" s="2108" t="s">
        <v>64</v>
      </c>
      <c r="AI8" s="2327"/>
      <c r="AJ8" s="2206">
        <v>1</v>
      </c>
      <c r="AK8" s="2328" t="s">
        <v>28</v>
      </c>
      <c r="AL8" s="2108" t="s">
        <v>64</v>
      </c>
      <c r="AM8" s="2193"/>
      <c r="AN8" s="2206">
        <v>1</v>
      </c>
      <c r="AO8" s="2358"/>
      <c r="AP8" s="2359" t="s">
        <v>64</v>
      </c>
      <c r="AQ8" s="312"/>
      <c r="AR8" s="1487">
        <v>1</v>
      </c>
      <c r="AS8" s="1493" t="s">
        <v>28</v>
      </c>
      <c r="AT8" s="752"/>
      <c r="AU8" s="1258"/>
      <c r="AV8" s="752"/>
      <c r="AW8" s="1258"/>
      <c r="AX8" s="1735"/>
      <c r="AY8" s="1470" t="s">
        <v>64</v>
      </c>
      <c r="AZ8" s="1735"/>
      <c r="BA8" s="1470" t="s">
        <v>64</v>
      </c>
      <c r="BB8" s="1349"/>
      <c r="BC8" s="2254" t="s">
        <v>534</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535</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536</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537</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538</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497</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219</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227</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64</v>
      </c>
      <c r="AZ20" s="1737"/>
      <c r="BA20" s="1486" t="s">
        <v>64</v>
      </c>
      <c r="BI20" s="1156">
        <v>0</v>
      </c>
    </row>
    <row customHeight="1" ht="14.25" hidden="1">
      <c r="BD21" s="497"/>
      <c r="BE21" s="497"/>
      <c r="BF21" s="497"/>
      <c r="BG21" s="497"/>
      <c r="BH21" s="497"/>
      <c r="BI21" s="1156">
        <v>0</v>
      </c>
    </row>
    <row customHeight="1" ht="14.25" hidden="1">
      <c r="O22" s="1368" t="s">
        <v>447</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448</v>
      </c>
      <c r="P24" s="1509"/>
      <c r="Q24" s="1511"/>
      <c r="R24" s="1511"/>
      <c r="AA24" s="1508" t="s">
        <v>450</v>
      </c>
      <c r="AC24" s="1508" t="s">
        <v>451</v>
      </c>
      <c r="AD24" s="1508" t="s">
        <v>498</v>
      </c>
      <c r="AH24" s="1508" t="s">
        <v>498</v>
      </c>
      <c r="AK24" s="1508" t="s">
        <v>539</v>
      </c>
      <c r="AL24" s="1508" t="s">
        <v>498</v>
      </c>
      <c r="AP24" s="1508" t="s">
        <v>498</v>
      </c>
      <c r="AY24" s="1508" t="s">
        <v>450</v>
      </c>
      <c r="BA24" s="1508" t="s">
        <v>451</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КГУП "Примтеплоэнерго"</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Агентство по тарифам Приморского края</v>
      </c>
      <c r="W31" s="2252"/>
      <c r="X31" s="2252"/>
      <c r="Y31" s="2252"/>
      <c r="Z31" s="2252"/>
      <c r="AA31" s="2252"/>
      <c r="AB31" s="2252"/>
      <c r="AC31" s="327"/>
      <c r="AD31" s="2252" t="str">
        <f>IF(TITLE_NAME_OR_PR_CHANGE="",IF(TITLE_NAME_OR_PR="","",TITLE_NAME_OR_PR),TITLE_NAME_OR_PR_CHANGE)</f>
        <v>Агентство по тарифам Приморского края</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c r="A32" s="1369"/>
      <c r="B32" s="1369"/>
      <c r="C32" s="1369"/>
      <c r="D32" s="1369"/>
      <c r="E32" s="1369"/>
      <c r="F32" s="1369"/>
      <c r="G32" s="1369"/>
      <c r="H32" s="1369"/>
      <c r="I32" s="1369"/>
      <c r="J32" s="1369"/>
      <c r="K32" s="1369"/>
      <c r="L32" s="1370"/>
      <c r="M32" s="1369"/>
      <c r="N32" s="1369"/>
      <c r="O32" s="1369"/>
      <c r="P32" s="1369"/>
      <c r="Q32" s="1369"/>
      <c r="S32" s="2251" t="s">
        <v>453</v>
      </c>
      <c r="T32" s="2251"/>
      <c r="U32" s="1373"/>
      <c r="V32" s="2265" t="str">
        <f>IF(TITLE_DATE_PR_CHANGE="",IF(TITLE_DATE_PR="","",TITLE_DATE_PR),TITLE_DATE_PR_CHANGE)</f>
        <v>45777.43633101852</v>
      </c>
      <c r="W32" s="2265"/>
      <c r="X32" s="2265"/>
      <c r="Y32" s="2265"/>
      <c r="Z32" s="2265"/>
      <c r="AA32" s="2265"/>
      <c r="AB32" s="2265"/>
      <c r="AC32" s="327"/>
      <c r="AD32" s="2265" t="str">
        <f>IF(TITLE_DATE_PR_CHANGE="",IF(TITLE_DATE_PR="","",TITLE_DATE_PR),TITLE_DATE_PR_CHANGE)</f>
        <v>45777.43633101852</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c r="A33" s="1369"/>
      <c r="B33" s="1369"/>
      <c r="C33" s="1369"/>
      <c r="D33" s="1369"/>
      <c r="E33" s="1369"/>
      <c r="F33" s="1369"/>
      <c r="G33" s="1369"/>
      <c r="H33" s="1369"/>
      <c r="I33" s="1369"/>
      <c r="J33" s="1369"/>
      <c r="K33" s="1369"/>
      <c r="L33" s="1370"/>
      <c r="M33" s="1369"/>
      <c r="N33" s="1369"/>
      <c r="O33" s="1369"/>
      <c r="P33" s="1369"/>
      <c r="Q33" s="1369"/>
      <c r="S33" s="2251" t="s">
        <v>454</v>
      </c>
      <c r="T33" s="2251"/>
      <c r="U33" s="1373"/>
      <c r="V33" s="2252" t="str">
        <f>IF(TITLE_NUMBER_PR_CHANGE="",IF(TITLE_NUMBER_PR="","",TITLE_NUMBER_PR),TITLE_NUMBER_PR_CHANGE)</f>
        <v>17-1</v>
      </c>
      <c r="W33" s="2252"/>
      <c r="X33" s="2252"/>
      <c r="Y33" s="2252"/>
      <c r="Z33" s="2252"/>
      <c r="AA33" s="2252"/>
      <c r="AB33" s="2252"/>
      <c r="AC33" s="327"/>
      <c r="AD33" s="2252" t="str">
        <f>IF(TITLE_NUMBER_PR_CHANGE="",IF(TITLE_NUMBER_PR="","",TITLE_NUMBER_PR),TITLE_NUMBER_PR_CHANGE)</f>
        <v>17-1</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c r="A34" s="1369"/>
      <c r="B34" s="1369"/>
      <c r="C34" s="1369"/>
      <c r="D34" s="1369"/>
      <c r="E34" s="1369"/>
      <c r="F34" s="1369"/>
      <c r="G34" s="1369"/>
      <c r="H34" s="1369"/>
      <c r="I34" s="1369"/>
      <c r="J34" s="1369"/>
      <c r="K34" s="1369"/>
      <c r="L34" s="1370"/>
      <c r="M34" s="1369"/>
      <c r="N34" s="1369"/>
      <c r="O34" s="1369"/>
      <c r="P34" s="1369"/>
      <c r="Q34" s="1369"/>
      <c r="S34" s="2251" t="s">
        <v>44</v>
      </c>
      <c r="T34" s="2251"/>
      <c r="U34" s="1373"/>
      <c r="V34" s="2252" t="str">
        <f>IF(TITLE_IST_PUB_CHANGE="",IF(TITLE_IST_PUB="","",TITLE_IST_PUB),TITLE_IST_PUB_CHANGE)</f>
        <v>http://pravo.gov.ru</v>
      </c>
      <c r="W34" s="2252"/>
      <c r="X34" s="2252"/>
      <c r="Y34" s="2252"/>
      <c r="Z34" s="2252"/>
      <c r="AA34" s="2252"/>
      <c r="AB34" s="2252"/>
      <c r="AC34" s="327"/>
      <c r="AD34" s="2252" t="str">
        <f>IF(TITLE_IST_PUB_CHANGE="",IF(TITLE_IST_PUB="","",TITLE_IST_PUB),TITLE_IST_PUB_CHANGE)</f>
        <v>http://pravo.gov.ru</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453</v>
      </c>
      <c r="T36" s="2251"/>
      <c r="U36" s="1373"/>
      <c r="V36" s="2265" t="str">
        <f>IF(TITLE_DATE_PR_CHANGE="",IF(TITLE_DATE_PR="","",TITLE_DATE_PR),TITLE_DATE_PR_CHANGE)</f>
        <v>45777.43633101852</v>
      </c>
      <c r="W36" s="2265"/>
      <c r="X36" s="2265"/>
      <c r="Y36" s="2265"/>
      <c r="Z36" s="2265"/>
      <c r="AA36" s="2265"/>
      <c r="AB36" s="2265"/>
      <c r="AC36" s="327"/>
      <c r="AD36" s="2265" t="str">
        <f>IF(TITLE_DATE_PR_CHANGE="",IF(TITLE_DATE_PR="","",TITLE_DATE_PR),TITLE_DATE_PR_CHANGE)</f>
        <v>45777.43633101852</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454</v>
      </c>
      <c r="T37" s="2251"/>
      <c r="U37" s="1373"/>
      <c r="V37" s="2252" t="str">
        <f>IF(TITLE_NUMBER_PR_CHANGE="",IF(TITLE_NUMBER_PR="","",TITLE_NUMBER_PR),TITLE_NUMBER_PR_CHANGE)</f>
        <v>17-1</v>
      </c>
      <c r="W37" s="2252"/>
      <c r="X37" s="2252"/>
      <c r="Y37" s="2252"/>
      <c r="Z37" s="2252"/>
      <c r="AA37" s="2252"/>
      <c r="AB37" s="2252"/>
      <c r="AC37" s="327"/>
      <c r="AD37" s="2252" t="str">
        <f>IF(TITLE_NUMBER_PR_CHANGE="",IF(TITLE_NUMBER_PR="","",TITLE_NUMBER_PR),TITLE_NUMBER_PR_CHANGE)</f>
        <v>17-1</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457</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457</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333</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334</v>
      </c>
      <c r="BI40" s="1156">
        <v>14</v>
      </c>
    </row>
    <row customHeight="1" ht="14.699999999999998">
      <c r="Q41" s="292"/>
      <c r="R41" s="377"/>
      <c r="S41" s="2274" t="s">
        <v>91</v>
      </c>
      <c r="T41" s="2210" t="s">
        <v>540</v>
      </c>
      <c r="U41" s="302"/>
      <c r="V41" s="2275" t="s">
        <v>459</v>
      </c>
      <c r="W41" s="2276"/>
      <c r="X41" s="2276"/>
      <c r="Y41" s="2276"/>
      <c r="Z41" s="2276"/>
      <c r="AA41" s="2276"/>
      <c r="AB41" s="2277"/>
      <c r="AC41" s="2278" t="s">
        <v>460</v>
      </c>
      <c r="AD41" s="2329" t="s">
        <v>541</v>
      </c>
      <c r="AE41" s="2292"/>
      <c r="AF41" s="2292"/>
      <c r="AG41" s="2330"/>
      <c r="AH41" s="2329" t="s">
        <v>542</v>
      </c>
      <c r="AI41" s="2292"/>
      <c r="AJ41" s="2292"/>
      <c r="AK41" s="2330"/>
      <c r="AL41" s="2329" t="s">
        <v>543</v>
      </c>
      <c r="AM41" s="2292"/>
      <c r="AN41" s="2292"/>
      <c r="AO41" s="2330"/>
      <c r="AP41" s="2329" t="s">
        <v>544</v>
      </c>
      <c r="AQ41" s="2292"/>
      <c r="AR41" s="2292"/>
      <c r="AS41" s="2330"/>
      <c r="AT41" s="2275" t="s">
        <v>459</v>
      </c>
      <c r="AU41" s="2276"/>
      <c r="AV41" s="2276"/>
      <c r="AW41" s="2276"/>
      <c r="AX41" s="2276"/>
      <c r="AY41" s="2276"/>
      <c r="AZ41" s="2277"/>
      <c r="BA41" s="2278" t="s">
        <v>460</v>
      </c>
      <c r="BB41" s="2281" t="s">
        <v>462</v>
      </c>
      <c r="BC41" s="2128"/>
      <c r="BI41" s="1156">
        <v>14</v>
      </c>
    </row>
    <row customHeight="1" ht="35.699999999999996">
      <c r="Q42" s="292"/>
      <c r="R42" s="377"/>
      <c r="S42" s="2274"/>
      <c r="T42" s="2210"/>
      <c r="U42" s="1032"/>
      <c r="V42" s="2193" t="s">
        <v>545</v>
      </c>
      <c r="W42" s="2194"/>
      <c r="X42" s="2193" t="s">
        <v>546</v>
      </c>
      <c r="Y42" s="2194"/>
      <c r="Z42" s="2295" t="s">
        <v>547</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545</v>
      </c>
      <c r="AU42" s="2194"/>
      <c r="AV42" s="2193" t="s">
        <v>546</v>
      </c>
      <c r="AW42" s="2194"/>
      <c r="AX42" s="2295" t="s">
        <v>547</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149</v>
      </c>
      <c r="C44" s="1371" t="s">
        <v>150</v>
      </c>
      <c r="D44" s="1371" t="s">
        <v>151</v>
      </c>
      <c r="E44" s="1365" t="s">
        <v>467</v>
      </c>
      <c r="F44" s="1365" t="s">
        <v>468</v>
      </c>
      <c r="G44" s="1365" t="s">
        <v>469</v>
      </c>
      <c r="H44" s="1365" t="s">
        <v>470</v>
      </c>
      <c r="I44" s="1365" t="s">
        <v>471</v>
      </c>
      <c r="J44" s="1365" t="s">
        <v>472</v>
      </c>
      <c r="K44" s="1365" t="s">
        <v>473</v>
      </c>
      <c r="L44" s="1365" t="s">
        <v>448</v>
      </c>
      <c r="Q44" s="292"/>
      <c r="R44" s="377"/>
      <c r="S44" s="2274"/>
      <c r="T44" s="2210"/>
      <c r="U44" s="303"/>
      <c r="V44" s="1480" t="s">
        <v>508</v>
      </c>
      <c r="W44" s="1480" t="s">
        <v>509</v>
      </c>
      <c r="X44" s="1480" t="s">
        <v>508</v>
      </c>
      <c r="Y44" s="1480" t="s">
        <v>509</v>
      </c>
      <c r="Z44" s="1490" t="s">
        <v>476</v>
      </c>
      <c r="AA44" s="2271" t="s">
        <v>477</v>
      </c>
      <c r="AB44" s="2272"/>
      <c r="AC44" s="2280"/>
      <c r="AD44" s="2334"/>
      <c r="AE44" s="2335"/>
      <c r="AF44" s="2335"/>
      <c r="AG44" s="2336"/>
      <c r="AH44" s="2334"/>
      <c r="AI44" s="2335"/>
      <c r="AJ44" s="2335"/>
      <c r="AK44" s="2336"/>
      <c r="AL44" s="2334"/>
      <c r="AM44" s="2335"/>
      <c r="AN44" s="2335"/>
      <c r="AO44" s="2336"/>
      <c r="AP44" s="2334"/>
      <c r="AQ44" s="2335"/>
      <c r="AR44" s="2335"/>
      <c r="AS44" s="2336"/>
      <c r="AT44" s="1480" t="s">
        <v>508</v>
      </c>
      <c r="AU44" s="1480" t="s">
        <v>509</v>
      </c>
      <c r="AV44" s="1480" t="s">
        <v>508</v>
      </c>
      <c r="AW44" s="1480" t="s">
        <v>509</v>
      </c>
      <c r="AX44" s="1490" t="s">
        <v>476</v>
      </c>
      <c r="AY44" s="2271" t="s">
        <v>477</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124</v>
      </c>
      <c r="T45" s="1256" t="s">
        <v>107</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294</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137</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294</v>
      </c>
      <c r="B47" s="1364" t="s">
        <v>295</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430</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431</v>
      </c>
      <c r="BE47" s="501"/>
      <c r="BF47" s="501" t="str">
        <f>IF(T47="","",T47)</f>
        <v>Территория действия тарифа</v>
      </c>
      <c r="BG47" s="501"/>
      <c r="BH47" s="501"/>
      <c r="BI47" s="1156">
        <v>21</v>
      </c>
    </row>
    <row customHeight="1" ht="35.699999999999996">
      <c r="A48" s="1364" t="s">
        <v>294</v>
      </c>
      <c r="B48" s="1364" t="s">
        <v>295</v>
      </c>
      <c r="C48" s="1364" t="s">
        <v>296</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563</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564</v>
      </c>
      <c r="BE48" s="501"/>
      <c r="BF48" s="501" t="str">
        <f>IF(T48="","",T48)</f>
        <v>Наименование централизованной системы горячего водоснабжения</v>
      </c>
      <c r="BG48" s="501"/>
      <c r="BH48" s="501"/>
      <c r="BI48" s="1156">
        <v>34</v>
      </c>
    </row>
    <row s="1643" customFormat="1" customHeight="1" ht="0">
      <c r="A49" s="1344" t="s">
        <v>294</v>
      </c>
      <c r="B49" s="1344" t="s">
        <v>295</v>
      </c>
      <c r="C49" s="1344" t="s">
        <v>296</v>
      </c>
      <c r="D49" s="1344" t="s">
        <v>577</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435</v>
      </c>
      <c r="BE49" s="501"/>
      <c r="BF49" s="501" t="str">
        <f>IF(T49="","",T49)</f>
        <v/>
      </c>
      <c r="BG49" s="501"/>
      <c r="BH49" s="501"/>
      <c r="BI49" s="512">
        <v>0</v>
      </c>
    </row>
    <row s="1643" customFormat="1" customHeight="1" ht="0">
      <c r="A50" s="1344" t="s">
        <v>294</v>
      </c>
      <c r="B50" s="1344" t="s">
        <v>295</v>
      </c>
      <c r="C50" s="1344" t="s">
        <v>296</v>
      </c>
      <c r="D50" s="1344" t="s">
        <v>577</v>
      </c>
      <c r="E50" s="2260"/>
      <c r="F50" s="2260"/>
      <c r="G50" s="2260"/>
      <c r="H50" s="2260"/>
      <c r="I50" s="2257" t="str">
        <f>S49&amp;".1"</f>
        <v>.1</v>
      </c>
      <c r="J50" s="1344"/>
      <c r="K50" s="1344"/>
      <c r="L50" s="1347" t="s">
        <v>436</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294</v>
      </c>
      <c r="B51" s="1344" t="s">
        <v>295</v>
      </c>
      <c r="C51" s="1344" t="s">
        <v>296</v>
      </c>
      <c r="D51" s="1344" t="s">
        <v>577</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294</v>
      </c>
      <c r="B52" s="1364" t="s">
        <v>295</v>
      </c>
      <c r="C52" s="1364" t="s">
        <v>296</v>
      </c>
      <c r="D52" s="1364" t="s">
        <v>577</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64</v>
      </c>
      <c r="AB52" s="1735"/>
      <c r="AC52" s="1470" t="s">
        <v>64</v>
      </c>
      <c r="AD52" s="2186" t="s">
        <v>64</v>
      </c>
      <c r="AE52" s="2327"/>
      <c r="AF52" s="2206">
        <v>1</v>
      </c>
      <c r="AG52" s="2364"/>
      <c r="AH52" s="2108" t="s">
        <v>64</v>
      </c>
      <c r="AI52" s="2327"/>
      <c r="AJ52" s="2206">
        <v>1</v>
      </c>
      <c r="AK52" s="2328" t="s">
        <v>28</v>
      </c>
      <c r="AL52" s="2108" t="s">
        <v>64</v>
      </c>
      <c r="AM52" s="2193"/>
      <c r="AN52" s="2206">
        <v>1</v>
      </c>
      <c r="AO52" s="2358"/>
      <c r="AP52" s="2359" t="s">
        <v>64</v>
      </c>
      <c r="AQ52" s="312"/>
      <c r="AR52" s="1487">
        <v>1</v>
      </c>
      <c r="AS52" s="1493" t="s">
        <v>28</v>
      </c>
      <c r="AT52" s="752"/>
      <c r="AU52" s="1258"/>
      <c r="AV52" s="752"/>
      <c r="AW52" s="1258"/>
      <c r="AX52" s="1735"/>
      <c r="AY52" s="1470" t="s">
        <v>64</v>
      </c>
      <c r="AZ52" s="1735"/>
      <c r="BA52" s="1470" t="s">
        <v>64</v>
      </c>
      <c r="BB52" s="1349"/>
      <c r="BC52" s="2254" t="s">
        <v>534</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535</v>
      </c>
      <c r="AT53" s="1394"/>
      <c r="AU53" s="1497"/>
      <c r="AV53" s="1394"/>
      <c r="AW53" s="1497"/>
      <c r="AX53" s="1394"/>
      <c r="AY53" s="1394"/>
      <c r="AZ53" s="1394"/>
      <c r="BA53" s="1394"/>
      <c r="BB53" s="1398"/>
      <c r="BC53" s="2255"/>
      <c r="BE53" s="501"/>
      <c r="BF53" s="501"/>
      <c r="BG53" s="501"/>
      <c r="BH53" s="501"/>
      <c r="BI53" s="1156">
        <v>11</v>
      </c>
    </row>
    <row customHeight="1" ht="11.549999999999999">
      <c r="A54" s="1364" t="s">
        <v>294</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536</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294</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537</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294</v>
      </c>
      <c r="B56" s="1364" t="s">
        <v>295</v>
      </c>
      <c r="C56" s="1364" t="s">
        <v>296</v>
      </c>
      <c r="D56" s="1364" t="s">
        <v>577</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538</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294</v>
      </c>
      <c r="B57" s="1364" t="s">
        <v>295</v>
      </c>
      <c r="C57" s="1364" t="s">
        <v>296</v>
      </c>
      <c r="D57" s="1364" t="s">
        <v>577</v>
      </c>
      <c r="E57" s="2260"/>
      <c r="F57" s="2260"/>
      <c r="G57" s="2260"/>
      <c r="H57" s="2260"/>
      <c r="I57" s="2287"/>
      <c r="J57" s="2257"/>
      <c r="K57" s="1364"/>
      <c r="L57" s="1365"/>
      <c r="P57" s="2258"/>
      <c r="Q57" s="2258"/>
      <c r="R57" s="357"/>
      <c r="S57" s="1279"/>
      <c r="T57" s="288" t="s">
        <v>497</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294</v>
      </c>
      <c r="B58" s="1344" t="s">
        <v>295</v>
      </c>
      <c r="C58" s="1344" t="s">
        <v>296</v>
      </c>
      <c r="D58" s="1344" t="s">
        <v>577</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294</v>
      </c>
      <c r="B59" s="1344" t="s">
        <v>295</v>
      </c>
      <c r="C59" s="1344" t="s">
        <v>296</v>
      </c>
      <c r="D59" s="1344" t="s">
        <v>577</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294</v>
      </c>
      <c r="B60" s="1344" t="s">
        <v>295</v>
      </c>
      <c r="C60" s="1344" t="s">
        <v>296</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294</v>
      </c>
      <c r="B61" s="1344" t="s">
        <v>295</v>
      </c>
      <c r="C61" s="1315"/>
      <c r="D61" s="1315"/>
      <c r="E61" s="2260"/>
      <c r="F61" s="2259"/>
      <c r="G61" s="1315"/>
      <c r="H61" s="1315"/>
      <c r="I61" s="1315"/>
      <c r="J61" s="1315"/>
      <c r="K61" s="1315"/>
      <c r="L61" s="1495"/>
      <c r="M61" s="1322"/>
      <c r="N61" s="1322"/>
      <c r="P61" s="1317"/>
      <c r="Q61" s="1318"/>
      <c r="R61" s="1317"/>
      <c r="S61" s="1323"/>
      <c r="T61" s="1326" t="s">
        <v>219</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294</v>
      </c>
      <c r="B62" s="1344"/>
      <c r="C62" s="1344"/>
      <c r="D62" s="1344"/>
      <c r="E62" s="2259"/>
      <c r="F62" s="1344"/>
      <c r="G62" s="1344"/>
      <c r="H62" s="1344"/>
      <c r="I62" s="1344"/>
      <c r="J62" s="1344"/>
      <c r="K62" s="1344"/>
      <c r="L62" s="1347"/>
      <c r="M62" s="1322"/>
      <c r="N62" s="1322"/>
      <c r="O62" s="519"/>
      <c r="P62" s="381"/>
      <c r="Q62" s="1345"/>
      <c r="R62" s="381"/>
      <c r="S62" s="1323"/>
      <c r="T62" s="1326" t="s">
        <v>227</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236</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85</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7D413C-7018-F6B8-8868-2343FDBD4C35}"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578</v>
      </c>
      <c r="D2" s="1639"/>
      <c r="E2" s="547">
        <f>B2</f>
        <v>0</v>
      </c>
      <c r="F2" s="548"/>
      <c r="G2" s="1647" t="s">
        <v>579</v>
      </c>
      <c r="H2" s="1647" t="s">
        <v>579</v>
      </c>
      <c r="I2" s="1647" t="s">
        <v>579</v>
      </c>
      <c r="J2" s="290" t="s">
        <v>580</v>
      </c>
      <c r="K2" s="544"/>
      <c r="AF2" s="1632">
        <v>0</v>
      </c>
    </row>
    <row s="1643" customFormat="1" customHeight="1" ht="0.75" hidden="1">
      <c r="B3" s="2100"/>
      <c r="C3" s="1168"/>
      <c r="D3" s="549"/>
      <c r="E3" s="550"/>
      <c r="F3" s="551" t="s">
        <v>581</v>
      </c>
      <c r="G3" s="552"/>
      <c r="H3" s="552">
        <f>H4*H5+H7</f>
        <v>0</v>
      </c>
      <c r="I3" s="552">
        <f>I4*I5+I6</f>
        <v>0</v>
      </c>
      <c r="J3" s="553"/>
      <c r="AF3" s="1637">
        <v>0</v>
      </c>
    </row>
    <row customHeight="1" ht="23.25" hidden="1">
      <c r="B4" s="2100"/>
      <c r="C4" s="1168"/>
      <c r="D4" s="1639"/>
      <c r="E4" s="547" t="str">
        <f>B2&amp;".1"</f>
        <v>.1</v>
      </c>
      <c r="F4" s="554" t="s">
        <v>582</v>
      </c>
      <c r="G4" s="555"/>
      <c r="H4" s="542"/>
      <c r="I4" s="542"/>
      <c r="J4" s="290" t="s">
        <v>583</v>
      </c>
      <c r="K4" s="544"/>
      <c r="AF4" s="1632">
        <v>0</v>
      </c>
    </row>
    <row customHeight="1" ht="18.75" hidden="1">
      <c r="B5" s="2100"/>
      <c r="C5" s="1168"/>
      <c r="D5" s="1639"/>
      <c r="E5" s="547" t="str">
        <f>B2&amp;".2"</f>
        <v>.2</v>
      </c>
      <c r="F5" s="554" t="s">
        <v>584</v>
      </c>
      <c r="G5" s="1647" t="s">
        <v>585</v>
      </c>
      <c r="H5" s="542"/>
      <c r="I5" s="542"/>
      <c r="J5" s="290"/>
      <c r="K5" s="544"/>
      <c r="AF5" s="1632">
        <v>0</v>
      </c>
    </row>
    <row customHeight="1" ht="18.75" hidden="1">
      <c r="B6" s="2100"/>
      <c r="C6" s="1168"/>
      <c r="D6" s="1639"/>
      <c r="E6" s="547" t="str">
        <f>B2&amp;".3"</f>
        <v>.3</v>
      </c>
      <c r="F6" s="554" t="s">
        <v>586</v>
      </c>
      <c r="G6" s="1647" t="s">
        <v>585</v>
      </c>
      <c r="H6" s="542"/>
      <c r="I6" s="542"/>
      <c r="J6" s="290"/>
      <c r="K6" s="544"/>
      <c r="AF6" s="1632">
        <v>0</v>
      </c>
    </row>
    <row customHeight="1" ht="18.75" hidden="1">
      <c r="B7" s="2100"/>
      <c r="C7" s="1168"/>
      <c r="D7" s="1639"/>
      <c r="E7" s="547" t="str">
        <f>B2&amp;".4"</f>
        <v>.4</v>
      </c>
      <c r="F7" s="554" t="s">
        <v>587</v>
      </c>
      <c r="G7" s="1647" t="s">
        <v>579</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585</v>
      </c>
      <c r="H9" s="542"/>
      <c r="I9" s="542"/>
      <c r="J9" s="543" t="s">
        <v>588</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589</v>
      </c>
      <c r="H11" s="542"/>
      <c r="I11" s="542"/>
      <c r="J11" s="290" t="s">
        <v>590</v>
      </c>
      <c r="K11" s="544"/>
      <c r="AF11" s="1632">
        <v>0</v>
      </c>
    </row>
    <row customHeight="1" ht="11.25" hidden="1">
      <c r="AF12" s="1632">
        <v>0</v>
      </c>
    </row>
    <row customHeight="1" ht="22.5" hidden="1">
      <c r="D13" s="1639"/>
      <c r="E13" s="547"/>
      <c r="F13" s="541"/>
      <c r="G13" s="970" t="s">
        <v>591</v>
      </c>
      <c r="H13" s="546"/>
      <c r="I13" s="546"/>
      <c r="J13" s="746" t="s">
        <v>592</v>
      </c>
      <c r="K13" s="544"/>
      <c r="AF13" s="1632">
        <v>0</v>
      </c>
    </row>
    <row customHeight="1" ht="11.25" hidden="1">
      <c r="AF14" s="1632">
        <v>0</v>
      </c>
    </row>
    <row customHeight="1" ht="22.5" hidden="1">
      <c r="D15" s="1639"/>
      <c r="E15" s="547"/>
      <c r="F15" s="541"/>
      <c r="G15" s="1647" t="s">
        <v>593</v>
      </c>
      <c r="H15" s="546"/>
      <c r="I15" s="546"/>
      <c r="J15" s="290" t="s">
        <v>594</v>
      </c>
      <c r="K15" s="544"/>
      <c r="AF15" s="1632">
        <v>0</v>
      </c>
    </row>
    <row customHeight="1" ht="11.25" hidden="1">
      <c r="AF16" s="1632">
        <v>0</v>
      </c>
    </row>
    <row customHeight="1" ht="22.5" hidden="1">
      <c r="D17" s="1639"/>
      <c r="E17" s="547"/>
      <c r="F17" s="541"/>
      <c r="G17" s="1647" t="s">
        <v>595</v>
      </c>
      <c r="H17" s="546"/>
      <c r="I17" s="546"/>
      <c r="J17" s="290" t="s">
        <v>596</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9"/>
      <c r="G21" s="2249"/>
      <c r="H21" s="2249"/>
      <c r="I21" s="2249"/>
      <c r="J21" s="557"/>
      <c r="AF21" s="1632">
        <v>24</v>
      </c>
    </row>
    <row customHeight="1" ht="25.2">
      <c r="E22" s="2250" t="str">
        <f>IF(org=0,"Не определено",org)</f>
        <v>КГУП "Примтеплоэнерго"</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131</v>
      </c>
      <c r="AF24" s="1637">
        <v>1</v>
      </c>
    </row>
    <row customHeight="1" ht="11.549999999999999">
      <c r="E25" s="712"/>
      <c r="F25" s="2368" t="s">
        <v>120</v>
      </c>
      <c r="G25" s="2369"/>
      <c r="H25" s="1653" t="str">
        <f>IF(H24="","",INDEX(DIFFERENTIATION_UNMERGE_VD,MATCH(H24,DIFFERENTIATION_ID_DIFF,0)))</f>
        <v/>
      </c>
      <c r="I25" s="1653">
        <f>IF(I24="","",INDEX(DIFFERENTIATION_UNMERGE_VD,MATCH(I24,DIFFERENTIATION_ID_DIFF,0)))</f>
        <v>0</v>
      </c>
      <c r="J25" s="2128"/>
      <c r="AF25" s="1632">
        <v>11</v>
      </c>
    </row>
    <row customHeight="1" ht="11.549999999999999">
      <c r="E26" s="712"/>
      <c r="F26" s="2368" t="s">
        <v>597</v>
      </c>
      <c r="G26" s="2369"/>
      <c r="H26" s="1653" t="str">
        <f>IF(H24="","",INDEX(DIFFERENTIATION_UNMERGE_AREA,MATCH(H24,DIFFERENTIATION_ID_DIFF,0)))</f>
        <v/>
      </c>
      <c r="I26" s="1653" t="str">
        <f>IF(I24="","",INDEX(DIFFERENTIATION_UNMERGE_AREA,MATCH(I24,DIFFERENTIATION_ID_DIFF,0)))</f>
        <v/>
      </c>
      <c r="J26" s="2128"/>
      <c r="AF26" s="1632">
        <v>11</v>
      </c>
    </row>
    <row customHeight="1" ht="11.549999999999999">
      <c r="E27" s="712"/>
      <c r="F27" s="2368" t="s">
        <v>598</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549999999999999">
      <c r="E28" s="2370" t="s">
        <v>333</v>
      </c>
      <c r="F28" s="2371"/>
      <c r="G28" s="2371"/>
      <c r="H28" s="1646"/>
      <c r="I28" s="1646"/>
      <c r="J28" s="2128"/>
      <c r="AF28" s="1632">
        <v>11</v>
      </c>
    </row>
    <row customHeight="1" ht="24">
      <c r="E29" s="1647" t="s">
        <v>91</v>
      </c>
      <c r="F29" s="1654" t="s">
        <v>335</v>
      </c>
      <c r="G29" s="1654" t="s">
        <v>599</v>
      </c>
      <c r="H29" s="1654" t="s">
        <v>336</v>
      </c>
      <c r="I29" s="1654" t="s">
        <v>336</v>
      </c>
      <c r="J29" s="2128"/>
      <c r="AF29" s="1632">
        <v>23</v>
      </c>
    </row>
    <row customHeight="1" ht="19.95">
      <c r="D30" s="1639"/>
      <c r="E30" s="547">
        <f>FHD_NUM_P_1</f>
        <v>1</v>
      </c>
      <c r="F30" s="1881" t="str">
        <f>FHD_P_1</f>
        <v>Выручка от регулируемого вида деятельности с распределением по видам деятельности</v>
      </c>
      <c r="G30" s="1879" t="s">
        <v>585</v>
      </c>
      <c r="H30" s="558"/>
      <c r="I30" s="558"/>
      <c r="J30" s="290" t="str">
        <f>FHD_NOTE_P_1</f>
        <v>Указывается выручка от регулируемого вида деятельности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регулируемому виду деятельности, включая:</v>
      </c>
      <c r="G31" s="1879" t="s">
        <v>585</v>
      </c>
      <c r="H31" s="559">
        <f>SUMIF($K33:$K71,$K31,H33:H71)</f>
        <v>0</v>
      </c>
      <c r="I31" s="559">
        <f>SUMIF($K33:$K71,$K31,I33:I71)</f>
        <v>0</v>
      </c>
      <c r="J31" s="290" t="str">
        <f>FHD_NOTE_P_2</f>
        <v>Указывается суммарная себестоимость производимых товаров.</v>
      </c>
      <c r="K31" s="1637" t="s">
        <v>600</v>
      </c>
      <c r="AF31" s="1632">
        <v>11</v>
      </c>
    </row>
    <row customHeight="1" ht="11.549999999999999">
      <c r="D32" s="1639"/>
      <c r="E32" s="547" t="str">
        <f>FHD_NUM_P_3</f>
        <v>2.1</v>
      </c>
      <c r="F32" s="1525" t="str">
        <f>FHD_P_3</f>
        <v>Расходы на приобретаемую тепловую энергию (мощность), теплоноситель</v>
      </c>
      <c r="G32" s="1879" t="s">
        <v>585</v>
      </c>
      <c r="H32" s="558"/>
      <c r="I32" s="558"/>
      <c r="J32" s="290" t="str">
        <f>FHD_NOTE_P_3</f>
        <v/>
      </c>
      <c r="K32" s="1637" t="str">
        <f>IF((LEN(E32)-LEN(SUBSTITUTE(E32,".","")))/LEN(".")=1,"p","")</f>
        <v>p</v>
      </c>
      <c r="AF32" s="1632">
        <v>11</v>
      </c>
    </row>
    <row customHeight="1" ht="11.25">
      <c r="A33" s="2372" t="s">
        <v>601</v>
      </c>
      <c r="D33" s="1639"/>
      <c r="E33" s="547" t="str">
        <f>FHD_NUM_P_4</f>
        <v>2.2</v>
      </c>
      <c r="F33" s="152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9" t="s">
        <v>585</v>
      </c>
      <c r="H33" s="559">
        <f>SUMIF($F34:$F40,$F3,H34:H40)</f>
        <v>0</v>
      </c>
      <c r="I33" s="559">
        <f>SUMIF($F34:$F40,$F3,I34:I40)</f>
        <v>0</v>
      </c>
      <c r="J33" s="290" t="str">
        <f>FHD_NOTE_P_4</f>
        <v>Указываются суммарные расходы на приобретение топлива всех видов.</v>
      </c>
      <c r="K33" s="1637" t="str">
        <f>IF((LEN(E33)-LEN(SUBSTITUTE(E33,".","")))/LEN(".")=1,"p","")</f>
        <v>p</v>
      </c>
      <c r="AF33" s="1632">
        <v>0</v>
      </c>
    </row>
    <row s="1642" customFormat="1" customHeight="1" ht="0.75">
      <c r="A34" s="2372"/>
      <c r="B34" s="2373" t="str">
        <f>E33&amp;".0"</f>
        <v>2.2.0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c r="A40" s="2372"/>
      <c r="C40" s="1637"/>
      <c r="D40" s="1634"/>
      <c r="E40" s="571"/>
      <c r="F40" s="572" t="s">
        <v>602</v>
      </c>
      <c r="G40" s="573"/>
      <c r="H40" s="574"/>
      <c r="I40" s="574"/>
      <c r="J40" s="302"/>
      <c r="K40" s="1637" t="str">
        <f>IF((LEN(E40)-LEN(SUBSTITUTE(E40,".","")))/LEN(".")=1,"p","")</f>
        <v/>
      </c>
      <c r="L40" s="1637"/>
      <c r="M40" s="1637"/>
      <c r="R40" s="1637"/>
      <c r="U40" s="545"/>
      <c r="AA40" s="1633"/>
      <c r="AB40" s="1633"/>
      <c r="AC40" s="1633"/>
      <c r="AD40" s="1633"/>
      <c r="AE40" s="1633"/>
      <c r="AF40" s="1161">
        <v>0</v>
      </c>
    </row>
    <row customHeight="1" ht="11.25" hidden="1">
      <c r="A41" s="2372" t="s">
        <v>603</v>
      </c>
      <c r="D41" s="1639"/>
      <c r="E41" s="547" t="str">
        <f>FHD_NUM_P_5</f>
        <v/>
      </c>
      <c r="F41" s="1525" t="str">
        <f>FHD_P_5</f>
        <v/>
      </c>
      <c r="G41" s="1879" t="s">
        <v>585</v>
      </c>
      <c r="H41" s="558"/>
      <c r="I41" s="558"/>
      <c r="J41" s="290" t="str">
        <f>FHD_NOTE_P_5</f>
        <v/>
      </c>
      <c r="K41" s="1637" t="str">
        <f>IF((LEN(E41)-LEN(SUBSTITUTE(E41,".","")))/LEN(".")=1,"p","")</f>
        <v/>
      </c>
      <c r="AF41" s="1632">
        <v>0</v>
      </c>
    </row>
    <row customHeight="1" ht="11.25" hidden="1">
      <c r="A42" s="2372"/>
      <c r="D42" s="1639"/>
      <c r="E42" s="547" t="str">
        <f>FHD_NUM_P_6</f>
        <v/>
      </c>
      <c r="F42" s="1525" t="str">
        <f>FHD_P_6</f>
        <v/>
      </c>
      <c r="G42" s="1879" t="s">
        <v>585</v>
      </c>
      <c r="H42" s="558"/>
      <c r="I42" s="558"/>
      <c r="J42" s="290" t="str">
        <f>FHD_NOTE_P_6</f>
        <v/>
      </c>
      <c r="K42" s="1637" t="str">
        <f>IF((LEN(E42)-LEN(SUBSTITUTE(E42,".","")))/LEN(".")=1,"p","")</f>
        <v/>
      </c>
      <c r="AF42" s="1632">
        <v>0</v>
      </c>
    </row>
    <row customHeight="1" ht="11.25" hidden="1">
      <c r="A43" s="2372"/>
      <c r="D43" s="1639"/>
      <c r="E43" s="547" t="str">
        <f>FHD_NUM_P_7</f>
        <v/>
      </c>
      <c r="F43" s="1525" t="str">
        <f>FHD_P_7</f>
        <v/>
      </c>
      <c r="G43" s="1879" t="s">
        <v>585</v>
      </c>
      <c r="H43" s="558"/>
      <c r="I43" s="558"/>
      <c r="J43" s="290" t="str">
        <f>FHD_NOTE_P_7</f>
        <v/>
      </c>
      <c r="K43" s="1637" t="str">
        <f>IF((LEN(E43)-LEN(SUBSTITUTE(E43,".","")))/LEN(".")=1,"p","")</f>
        <v/>
      </c>
      <c r="AF43" s="1632">
        <v>0</v>
      </c>
    </row>
    <row customHeight="1" ht="11.549999999999999">
      <c r="D44" s="1639"/>
      <c r="E44" s="547" t="str">
        <f>FHD_NUM_P_8</f>
        <v>2.3</v>
      </c>
      <c r="F44" s="1525" t="str">
        <f>FHD_P_8</f>
        <v>Расходы на приобретаемую электрическую энергию (мощность), используемую в технологическом процессе</v>
      </c>
      <c r="G44" s="1879" t="s">
        <v>585</v>
      </c>
      <c r="H44" s="558"/>
      <c r="I44" s="558"/>
      <c r="J44" s="290" t="str">
        <f>FHD_NOTE_P_8</f>
        <v/>
      </c>
      <c r="K44" s="1637" t="str">
        <f>IF((LEN(E44)-LEN(SUBSTITUTE(E44,".","")))/LEN(".")=1,"p","")</f>
        <v>p</v>
      </c>
      <c r="AF44" s="1632">
        <v>11</v>
      </c>
    </row>
    <row customHeight="1" ht="11.549999999999999">
      <c r="D45" s="1639"/>
      <c r="E45" s="547" t="str">
        <f>FHD_NUM_P_9</f>
        <v>2.3.1</v>
      </c>
      <c r="F45" s="1651" t="str">
        <f>FHD_P_9</f>
        <v>Средневзвешенная стоимость 1 кВт.ч (с учетом мощности)</v>
      </c>
      <c r="G45" s="1879" t="s">
        <v>604</v>
      </c>
      <c r="H45" s="558"/>
      <c r="I45" s="558"/>
      <c r="J45" s="290" t="str">
        <f>FHD_NOTE_P_9</f>
        <v/>
      </c>
      <c r="K45" s="1637" t="str">
        <f>IF((LEN(E45)-LEN(SUBSTITUTE(E45,".","")))/LEN(".")=1,"p","")</f>
        <v/>
      </c>
      <c r="AF45" s="1632">
        <v>11</v>
      </c>
    </row>
    <row s="1367" customFormat="1" customHeight="1" ht="11.549999999999999">
      <c r="A46" s="988"/>
      <c r="C46" s="1637"/>
      <c r="D46" s="575"/>
      <c r="E46" s="547" t="str">
        <f>FHD_NUM_P_10</f>
        <v>2.3.2</v>
      </c>
      <c r="F46" s="1651" t="str">
        <f>FHD_P_10</f>
        <v>Объём приобретения электрической энергии</v>
      </c>
      <c r="G46" s="1879" t="s">
        <v>605</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c r="A47" s="990" t="s">
        <v>606</v>
      </c>
      <c r="C47" s="1637"/>
      <c r="D47" s="576"/>
      <c r="E47" s="547" t="str">
        <f>FHD_NUM_P_11</f>
        <v>2.4</v>
      </c>
      <c r="F47" s="1525" t="str">
        <f>FHD_P_11</f>
        <v>Расходы на приобретение холодной воды, используемой в технологическом процессе</v>
      </c>
      <c r="G47" s="1879" t="s">
        <v>585</v>
      </c>
      <c r="H47" s="558"/>
      <c r="I47" s="558"/>
      <c r="J47" s="290" t="str">
        <f>FHD_NOTE_P_11</f>
        <v/>
      </c>
      <c r="K47" s="1637" t="str">
        <f>IF((LEN(E47)-LEN(SUBSTITUTE(E47,".","")))/LEN(".")=1,"p","")</f>
        <v>p</v>
      </c>
      <c r="L47" s="1637"/>
      <c r="M47" s="1637"/>
      <c r="R47" s="1637"/>
      <c r="U47" s="545"/>
      <c r="AA47" s="1633"/>
      <c r="AB47" s="1633"/>
      <c r="AC47" s="1633"/>
      <c r="AD47" s="1633"/>
      <c r="AE47" s="1633"/>
      <c r="AF47" s="1161">
        <v>0</v>
      </c>
    </row>
    <row s="1367" customFormat="1" customHeight="1" ht="18.75">
      <c r="A48" s="990" t="s">
        <v>607</v>
      </c>
      <c r="C48" s="1637"/>
      <c r="D48" s="1639"/>
      <c r="E48" s="547" t="str">
        <f>FHD_NUM_P_12</f>
        <v>2.5</v>
      </c>
      <c r="F48" s="1525" t="str">
        <f>FHD_P_12</f>
        <v>Расходы на  химические реагенты, используемые в технологическом процессе</v>
      </c>
      <c r="G48" s="1879" t="s">
        <v>585</v>
      </c>
      <c r="H48" s="578"/>
      <c r="I48" s="578"/>
      <c r="J48" s="290" t="str">
        <f>FHD_NOTE_P_12</f>
        <v/>
      </c>
      <c r="K48" s="1637" t="str">
        <f>IF((LEN(E48)-LEN(SUBSTITUTE(E48,".","")))/LEN(".")=1,"p","")</f>
        <v>p</v>
      </c>
      <c r="L48" s="1637"/>
      <c r="M48" s="1637"/>
      <c r="R48" s="1637"/>
      <c r="U48" s="545"/>
      <c r="AA48" s="1633"/>
      <c r="AB48" s="1633"/>
      <c r="AC48" s="1633"/>
      <c r="AD48" s="1633"/>
      <c r="AE48" s="1633"/>
      <c r="AF48" s="1161">
        <v>18</v>
      </c>
    </row>
    <row s="1366" customFormat="1" customHeight="1" ht="11.549999999999999">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585</v>
      </c>
      <c r="H49" s="558"/>
      <c r="I49" s="558"/>
      <c r="J49" s="290" t="str">
        <f>FHD_NOTE_P_13</f>
        <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2.6.1</v>
      </c>
      <c r="F50" s="1651" t="str">
        <f>FHD_P_14</f>
        <v>Расходы на оплату труда основного производственного персонала</v>
      </c>
      <c r="G50" s="1879" t="s">
        <v>585</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585</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585</v>
      </c>
      <c r="H52" s="558"/>
      <c r="I52" s="558"/>
      <c r="J52" s="290" t="str">
        <f>FHD_NOTE_P_16</f>
        <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2.7.1</v>
      </c>
      <c r="F53" s="1651" t="str">
        <f>FHD_P_17</f>
        <v>Расходы на оплату труда административно-управленческого персонала</v>
      </c>
      <c r="G53" s="1879" t="s">
        <v>585</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585</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2.8</v>
      </c>
      <c r="F55" s="1525" t="str">
        <f>FHD_P_19</f>
        <v>Расходы на амортизацию основных средств и нематериальных активов</v>
      </c>
      <c r="G55" s="1879" t="s">
        <v>585</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2.8.1</v>
      </c>
      <c r="F56" s="1651" t="str">
        <f>FHD_P_20</f>
        <v>Расходы на амортизацию основных средств</v>
      </c>
      <c r="G56" s="1879" t="s">
        <v>585</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2.8.2</v>
      </c>
      <c r="F57" s="1651" t="str">
        <f>FHD_P_21</f>
        <v>Расходы на амортизацию нематериальных активов</v>
      </c>
      <c r="G57" s="1879" t="s">
        <v>585</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2.9</v>
      </c>
      <c r="F58" s="1525" t="str">
        <f>FHD_P_22</f>
        <v>Расходы на аренду имущества, используемого для осуществления регулируемого вида деятельности</v>
      </c>
      <c r="G58" s="1879" t="s">
        <v>585</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2.10</v>
      </c>
      <c r="F59" s="1525" t="str">
        <f>FHD_P_23</f>
        <v>Общепроизводственные расходы, в том числе:</v>
      </c>
      <c r="G59" s="1879" t="s">
        <v>585</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2.10.1</v>
      </c>
      <c r="F60" s="1651" t="str">
        <f>FHD_P_24</f>
        <v>Расходы на текущий ремонт</v>
      </c>
      <c r="G60" s="1879" t="s">
        <v>585</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2.10.2</v>
      </c>
      <c r="F61" s="1651" t="str">
        <f>FHD_P_25</f>
        <v>Расходы на капитальный ремонт</v>
      </c>
      <c r="G61" s="1879" t="s">
        <v>585</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2.11</v>
      </c>
      <c r="F62" s="1525" t="str">
        <f>FHD_P_26</f>
        <v>Общехозяйственные расходы, в том числе:</v>
      </c>
      <c r="G62" s="1879" t="s">
        <v>585</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2.11.1</v>
      </c>
      <c r="F63" s="1651" t="str">
        <f>FHD_P_27</f>
        <v>Расходы на текущий ремонт</v>
      </c>
      <c r="G63" s="1879" t="s">
        <v>585</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2.11.2</v>
      </c>
      <c r="F64" s="1651" t="str">
        <f>FHD_P_28</f>
        <v>Расходы на капитальный ремонт</v>
      </c>
      <c r="G64" s="1879" t="s">
        <v>585</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2.12</v>
      </c>
      <c r="F65" s="1525" t="str">
        <f>FHD_P_29</f>
        <v>Расходы на капитальный и текущий ремонт основных средств</v>
      </c>
      <c r="G65" s="1879" t="s">
        <v>585</v>
      </c>
      <c r="H65" s="558"/>
      <c r="I65" s="558"/>
      <c r="J65" s="29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339</v>
      </c>
      <c r="H66" s="1650" t="s">
        <v>608</v>
      </c>
      <c r="I66" s="1650" t="s">
        <v>608</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hidden="1">
      <c r="A67" s="2372" t="s">
        <v>609</v>
      </c>
      <c r="C67" s="1637"/>
      <c r="D67" s="1639"/>
      <c r="E67" s="547" t="str">
        <f>FHD_NUM_P_31</f>
        <v/>
      </c>
      <c r="F67" s="1525" t="str">
        <f>FHD_P_31</f>
        <v/>
      </c>
      <c r="G67" s="1879" t="s">
        <v>585</v>
      </c>
      <c r="H67" s="558"/>
      <c r="I67" s="558"/>
      <c r="J67" s="290" t="str">
        <f>FHD_NOTE_P_31</f>
        <v/>
      </c>
      <c r="K67" s="1637" t="str">
        <f>IF((LEN(E67)-LEN(SUBSTITUTE(E67,".","")))/LEN(".")=1,"p","")</f>
        <v/>
      </c>
      <c r="L67" s="1637"/>
      <c r="M67" s="1637"/>
      <c r="R67" s="1637"/>
      <c r="U67" s="545"/>
      <c r="AA67" s="1633"/>
      <c r="AB67" s="1633"/>
      <c r="AC67" s="1633"/>
      <c r="AD67" s="1633"/>
      <c r="AE67" s="1633"/>
      <c r="AF67" s="1161">
        <v>22</v>
      </c>
    </row>
    <row s="1367" customFormat="1" customHeight="1" ht="47.25" hidden="1">
      <c r="A68" s="2372"/>
      <c r="C68" s="1637"/>
      <c r="D68" s="1639"/>
      <c r="E68" s="547" t="str">
        <f>FHD_NUM_P_32</f>
        <v/>
      </c>
      <c r="F68" s="1651" t="str">
        <f>FHD_P_32</f>
        <v/>
      </c>
      <c r="G68" s="1879" t="s">
        <v>339</v>
      </c>
      <c r="H68" s="1650" t="s">
        <v>608</v>
      </c>
      <c r="I68" s="1650" t="s">
        <v>608</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2.13</v>
      </c>
      <c r="F69" s="152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0" t="s">
        <v>585</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2.13.0</v>
      </c>
      <c r="F70" s="992"/>
      <c r="G70" s="1014"/>
      <c r="H70" s="993"/>
      <c r="I70" s="993"/>
      <c r="J70" s="994"/>
      <c r="K70" s="1637" t="str">
        <f>IF((LEN(E70)-LEN(SUBSTITUTE(E70,".","")))/LEN(".")=1,"p","")</f>
        <v/>
      </c>
      <c r="AF70" s="1637">
        <v>1</v>
      </c>
    </row>
    <row s="1367" customFormat="1" customHeight="1" ht="14.699999999999998">
      <c r="A71" s="988"/>
      <c r="C71" s="1637"/>
      <c r="D71" s="1634"/>
      <c r="E71" s="571"/>
      <c r="F71" s="572" t="s">
        <v>610</v>
      </c>
      <c r="G71" s="573"/>
      <c r="H71" s="574"/>
      <c r="I71" s="574"/>
      <c r="J71" s="302"/>
      <c r="K71" s="1637"/>
      <c r="L71" s="1637"/>
      <c r="M71" s="1637"/>
      <c r="R71" s="1637"/>
      <c r="U71" s="545"/>
      <c r="AA71" s="1633"/>
      <c r="AB71" s="1633"/>
      <c r="AC71" s="1633"/>
      <c r="AD71" s="1633"/>
      <c r="AE71" s="1633"/>
      <c r="AF71" s="1161">
        <v>14</v>
      </c>
    </row>
    <row s="1367" customFormat="1" customHeight="1" ht="18.75">
      <c r="A72" s="990" t="s">
        <v>611</v>
      </c>
      <c r="C72" s="1637"/>
      <c r="D72" s="1639"/>
      <c r="E72" s="547" t="str">
        <f>FHD_NUM_P_34</f>
        <v>3</v>
      </c>
      <c r="F72" s="1881" t="str">
        <f>FHD_P_34</f>
        <v>Валовая прибыль (убытки) от реализации товаров и оказания услуг по регулируемому виду деятельности</v>
      </c>
      <c r="G72" s="1879" t="s">
        <v>585</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4</v>
      </c>
      <c r="F73" s="1881" t="str">
        <f>FHD_P_35</f>
        <v>Чистая прибыль, полученная от регулируемого вида деятельности, в том числе:</v>
      </c>
      <c r="G73" s="1879" t="s">
        <v>585</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4.1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585</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5</v>
      </c>
      <c r="F75" s="1881" t="str">
        <f>FHD_P_37</f>
        <v>Изменение стоимости основных фондов, в том числе:</v>
      </c>
      <c r="G75" s="1879" t="s">
        <v>585</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5.1</v>
      </c>
      <c r="F76" s="1525" t="str">
        <f>FHD_P_38</f>
        <v>Изменение стоимости основных фондов за счет:</v>
      </c>
      <c r="G76" s="1879" t="s">
        <v>585</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5.1.1</v>
      </c>
      <c r="F77" s="1651" t="str">
        <f>FHD_P_39</f>
        <v>Изменения стоимости основных фондов за счет их ввода в эксплуатацию</v>
      </c>
      <c r="G77" s="2073" t="s">
        <v>585</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5.1.2</v>
      </c>
      <c r="F78" s="2077" t="str">
        <f>FHD_P_40</f>
        <v>Изменения стоимости основных фондов за счет их вывода в эксплуатацию</v>
      </c>
      <c r="G78" s="2072" t="s">
        <v>585</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5.2</v>
      </c>
      <c r="F79" s="2076" t="str">
        <f>FHD_P_41</f>
        <v>Изменение стоимости основных фондов за счет их переоценки</v>
      </c>
      <c r="G79" s="2072" t="s">
        <v>585</v>
      </c>
      <c r="H79" s="977"/>
      <c r="I79" s="558"/>
      <c r="J79" s="290" t="str">
        <f>FHD_NOTE_P_41</f>
        <v/>
      </c>
      <c r="K79" s="544"/>
      <c r="L79" s="1637"/>
      <c r="M79" s="1637"/>
      <c r="R79" s="1637"/>
      <c r="U79" s="545"/>
      <c r="AA79" s="1633"/>
      <c r="AB79" s="1633"/>
      <c r="AC79" s="1633"/>
      <c r="AD79" s="1633"/>
      <c r="AE79" s="1633"/>
      <c r="AF79" s="1161">
        <v>19</v>
      </c>
    </row>
    <row s="1367" customFormat="1" customHeight="1" ht="20.25" hidden="1">
      <c r="A80" s="990" t="s">
        <v>612</v>
      </c>
      <c r="C80" s="1637"/>
      <c r="D80" s="1639"/>
      <c r="E80" s="547" t="str">
        <f>FHD_NUM_P_42</f>
        <v/>
      </c>
      <c r="F80" s="2074" t="str">
        <f>FHD_P_42</f>
        <v/>
      </c>
      <c r="G80" s="2072" t="s">
        <v>585</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339</v>
      </c>
      <c r="H81" s="1056"/>
      <c r="I81" s="819"/>
      <c r="J81" s="29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613</v>
      </c>
      <c r="C82" s="736"/>
      <c r="D82" s="734"/>
      <c r="E82" s="547" t="str">
        <f>FHD_NUM_P_44</f>
        <v/>
      </c>
      <c r="F82" s="1881" t="str">
        <f>FHD_P_44</f>
        <v/>
      </c>
      <c r="G82" s="1882" t="s">
        <v>614</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614</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614</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614</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614</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614</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614</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614</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591</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hidden="1">
      <c r="A91" s="2374" t="s">
        <v>615</v>
      </c>
      <c r="C91" s="736"/>
      <c r="D91" s="734"/>
      <c r="E91" s="547" t="str">
        <f>FHD_NUM_P_53</f>
        <v/>
      </c>
      <c r="F91" s="1881" t="str">
        <f>FHD_P_53</f>
        <v/>
      </c>
      <c r="G91" s="1882" t="s">
        <v>614</v>
      </c>
      <c r="H91" s="978"/>
      <c r="I91" s="578"/>
      <c r="J91" s="290" t="str">
        <f>FHD_NOTE_P_53</f>
        <v/>
      </c>
      <c r="K91" s="735"/>
      <c r="L91" s="736"/>
      <c r="M91" s="736"/>
      <c r="R91" s="736"/>
      <c r="U91" s="737"/>
      <c r="AA91" s="738"/>
      <c r="AB91" s="738"/>
      <c r="AC91" s="738"/>
      <c r="AD91" s="738"/>
      <c r="AE91" s="738"/>
      <c r="AF91" s="911">
        <v>0</v>
      </c>
    </row>
    <row s="1367" customFormat="1" customHeight="1" ht="18.75" hidden="1">
      <c r="A92" s="2374"/>
      <c r="C92" s="736"/>
      <c r="D92" s="734"/>
      <c r="E92" s="547" t="str">
        <f>FHD_NUM_P_54</f>
        <v/>
      </c>
      <c r="F92" s="1881" t="str">
        <f>FHD_P_54</f>
        <v/>
      </c>
      <c r="G92" s="1882" t="s">
        <v>614</v>
      </c>
      <c r="H92" s="978"/>
      <c r="I92" s="578"/>
      <c r="J92" s="290" t="str">
        <f>FHD_NOTE_P_54</f>
        <v/>
      </c>
      <c r="K92" s="735"/>
      <c r="L92" s="736"/>
      <c r="M92" s="736"/>
      <c r="R92" s="736"/>
      <c r="U92" s="737"/>
      <c r="AA92" s="738"/>
      <c r="AB92" s="738"/>
      <c r="AC92" s="738"/>
      <c r="AD92" s="738"/>
      <c r="AE92" s="738"/>
      <c r="AF92" s="911">
        <v>0</v>
      </c>
    </row>
    <row s="1367" customFormat="1" customHeight="1" ht="18.75" hidden="1">
      <c r="A93" s="2374"/>
      <c r="C93" s="736"/>
      <c r="D93" s="739"/>
      <c r="E93" s="547" t="str">
        <f>FHD_NUM_P_55</f>
        <v/>
      </c>
      <c r="F93" s="1881" t="str">
        <f>FHD_P_55</f>
        <v/>
      </c>
      <c r="G93" s="1885"/>
      <c r="H93" s="978"/>
      <c r="I93" s="578"/>
      <c r="J93" s="290" t="str">
        <f>FHD_NOTE_P_55</f>
        <v/>
      </c>
      <c r="K93" s="735"/>
      <c r="L93" s="736"/>
      <c r="M93" s="736"/>
      <c r="R93" s="736"/>
      <c r="U93" s="737"/>
      <c r="AA93" s="738"/>
      <c r="AB93" s="738"/>
      <c r="AC93" s="738"/>
      <c r="AD93" s="738"/>
      <c r="AE93" s="738"/>
      <c r="AF93" s="911">
        <v>0</v>
      </c>
    </row>
    <row s="1367" customFormat="1" customHeight="1" ht="18.75" hidden="1">
      <c r="A94" s="2374"/>
      <c r="C94" s="736"/>
      <c r="D94" s="734"/>
      <c r="E94" s="547" t="str">
        <f>FHD_NUM_P_56</f>
        <v/>
      </c>
      <c r="F94" s="1881" t="str">
        <f>FHD_P_56</f>
        <v/>
      </c>
      <c r="G94" s="1882" t="s">
        <v>616</v>
      </c>
      <c r="H94" s="978"/>
      <c r="I94" s="578"/>
      <c r="J94" s="290" t="str">
        <f>FHD_NOTE_P_56</f>
        <v/>
      </c>
      <c r="K94" s="735"/>
      <c r="L94" s="736"/>
      <c r="M94" s="736"/>
      <c r="R94" s="736"/>
      <c r="U94" s="737"/>
      <c r="AA94" s="738"/>
      <c r="AB94" s="738"/>
      <c r="AC94" s="738"/>
      <c r="AD94" s="738"/>
      <c r="AE94" s="738"/>
      <c r="AF94" s="911">
        <v>0</v>
      </c>
    </row>
    <row s="1636" customFormat="1" customHeight="1" ht="18.75" hidden="1">
      <c r="A95" s="2374"/>
      <c r="B95" s="911"/>
      <c r="C95" s="736"/>
      <c r="D95" s="734"/>
      <c r="E95" s="547" t="str">
        <f>FHD_NUM_P_57</f>
        <v/>
      </c>
      <c r="F95" s="1881" t="str">
        <f>FHD_P_57</f>
        <v/>
      </c>
      <c r="G95" s="1882" t="s">
        <v>591</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617</v>
      </c>
      <c r="D96" s="1639"/>
      <c r="E96" s="547" t="str">
        <f>FHD_NUM_P_58</f>
        <v/>
      </c>
      <c r="F96" s="1881" t="str">
        <f>FHD_P_58</f>
        <v/>
      </c>
      <c r="G96" s="1882" t="s">
        <v>614</v>
      </c>
      <c r="H96" s="978"/>
      <c r="I96" s="578"/>
      <c r="J96" s="290" t="str">
        <f>FHD_NOTE_P_58</f>
        <v/>
      </c>
      <c r="K96" s="544"/>
      <c r="AF96" s="1632">
        <v>0</v>
      </c>
    </row>
    <row customHeight="1" ht="18.75" hidden="1">
      <c r="A97" s="2372"/>
      <c r="D97" s="1639"/>
      <c r="E97" s="547" t="str">
        <f>FHD_NUM_P_59</f>
        <v/>
      </c>
      <c r="F97" s="1881" t="str">
        <f>FHD_P_59</f>
        <v/>
      </c>
      <c r="G97" s="1882" t="s">
        <v>614</v>
      </c>
      <c r="H97" s="978"/>
      <c r="I97" s="578"/>
      <c r="J97" s="290" t="str">
        <f>FHD_NOTE_P_59</f>
        <v/>
      </c>
      <c r="K97" s="544"/>
      <c r="AF97" s="1632">
        <v>0</v>
      </c>
    </row>
    <row customHeight="1" ht="18.75" hidden="1">
      <c r="A98" s="2372"/>
      <c r="D98" s="1639"/>
      <c r="E98" s="547" t="str">
        <f>FHD_NUM_P_60</f>
        <v/>
      </c>
      <c r="F98" s="1881" t="str">
        <f>FHD_P_60</f>
        <v/>
      </c>
      <c r="G98" s="1882" t="s">
        <v>614</v>
      </c>
      <c r="H98" s="978"/>
      <c r="I98" s="578"/>
      <c r="J98" s="290" t="str">
        <f>FHD_NOTE_P_60</f>
        <v/>
      </c>
      <c r="K98" s="544"/>
      <c r="AF98" s="1632">
        <v>0</v>
      </c>
    </row>
    <row s="1367" customFormat="1" customHeight="1" ht="18.75">
      <c r="A99" s="2372" t="s">
        <v>618</v>
      </c>
      <c r="C99" s="1637"/>
      <c r="D99" s="1639"/>
      <c r="E99" s="547" t="str">
        <f>FHD_NUM_P_61</f>
        <v>7</v>
      </c>
      <c r="F99" s="188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9" t="s">
        <v>589</v>
      </c>
      <c r="H99" s="980"/>
      <c r="I99" s="743"/>
      <c r="J99" s="29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4"/>
      <c r="L99" s="1637"/>
      <c r="M99" s="1637"/>
      <c r="R99" s="1637"/>
      <c r="U99" s="545"/>
      <c r="AA99" s="1633"/>
      <c r="AB99" s="1633"/>
      <c r="AC99" s="1633"/>
      <c r="AD99" s="1633"/>
      <c r="AE99" s="1633"/>
      <c r="AF99" s="1161">
        <v>0</v>
      </c>
    </row>
    <row s="1643" customFormat="1" customHeight="1" ht="0.75">
      <c r="A100" s="2372"/>
      <c r="D100" s="549"/>
      <c r="E100" s="1014" t="str">
        <f>E99&amp;".0"</f>
        <v>7.0</v>
      </c>
      <c r="F100" s="995"/>
      <c r="G100" s="996"/>
      <c r="H100" s="993"/>
      <c r="I100" s="993"/>
      <c r="J100" s="997"/>
      <c r="AF100" s="1637">
        <v>0</v>
      </c>
    </row>
    <row customHeight="1" ht="15">
      <c r="A101" s="2372"/>
      <c r="D101" s="1634"/>
      <c r="E101" s="972"/>
      <c r="F101" s="973" t="s">
        <v>619</v>
      </c>
      <c r="G101" s="573"/>
      <c r="H101" s="574"/>
      <c r="I101" s="574"/>
      <c r="J101" s="1005" t="s">
        <v>620</v>
      </c>
      <c r="K101" s="544"/>
      <c r="AF101" s="1632">
        <v>0</v>
      </c>
    </row>
    <row s="1367" customFormat="1" customHeight="1" ht="18.75">
      <c r="A102" s="2372"/>
      <c r="C102" s="1637"/>
      <c r="D102" s="1639"/>
      <c r="E102" s="547" t="str">
        <f>FHD_NUM_P_62</f>
        <v>8</v>
      </c>
      <c r="F102" s="1881" t="str">
        <f>FHD_P_62</f>
        <v>Тепловая нагрузка по договорам, заключенным в рамках осуществления регулируемых видов деятельности</v>
      </c>
      <c r="G102" s="1878" t="s">
        <v>589</v>
      </c>
      <c r="H102" s="558"/>
      <c r="I102" s="558"/>
      <c r="J102" s="29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4"/>
      <c r="L102" s="1637"/>
      <c r="M102" s="1637"/>
      <c r="R102" s="1637"/>
      <c r="U102" s="545"/>
      <c r="AA102" s="1633"/>
      <c r="AB102" s="1633"/>
      <c r="AC102" s="1633"/>
      <c r="AD102" s="1633"/>
      <c r="AE102" s="1633"/>
      <c r="AF102" s="1161">
        <v>0</v>
      </c>
    </row>
    <row s="1367" customFormat="1" customHeight="1" ht="18.75">
      <c r="A103" s="2372"/>
      <c r="C103" s="1637"/>
      <c r="D103" s="1639"/>
      <c r="E103" s="547" t="str">
        <f>FHD_NUM_P_63</f>
        <v>9</v>
      </c>
      <c r="F103" s="1881" t="str">
        <f>FHD_P_63</f>
        <v>Объем вырабатываемой регулируемой организацией тепловой энергии в рамках осуществления регулируемых видов деятельности</v>
      </c>
      <c r="G103" s="1878" t="s">
        <v>616</v>
      </c>
      <c r="H103" s="578"/>
      <c r="I103" s="578"/>
      <c r="J103" s="29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4"/>
      <c r="L103" s="1637"/>
      <c r="M103" s="1637"/>
      <c r="R103" s="1637"/>
      <c r="U103" s="545"/>
      <c r="AA103" s="1633"/>
      <c r="AB103" s="1633"/>
      <c r="AC103" s="1633"/>
      <c r="AD103" s="1633"/>
      <c r="AE103" s="1633"/>
      <c r="AF103" s="1161">
        <v>0</v>
      </c>
    </row>
    <row s="1367" customFormat="1" customHeight="1" ht="18.75">
      <c r="A104" s="2372"/>
      <c r="C104" s="1637" t="s">
        <v>621</v>
      </c>
      <c r="D104" s="1639"/>
      <c r="E104" s="547" t="str">
        <f>FHD_NUM_P_64</f>
        <v>9.1</v>
      </c>
      <c r="F104" s="1881" t="str">
        <f>FHD_P_64</f>
        <v>Объем приобретаемой регулируемой организацией тепловой энергии в рамках осуществления регулируемых видов деятельности</v>
      </c>
      <c r="G104" s="1878" t="s">
        <v>616</v>
      </c>
      <c r="H104" s="546"/>
      <c r="I104" s="546"/>
      <c r="J104" s="290" t="str">
        <f>FHD_NOTE_P_64</f>
        <v>Информация указывается только едиными теплоснабжающими организациями.</v>
      </c>
      <c r="K104" s="544"/>
      <c r="L104" s="1637"/>
      <c r="M104" s="1637"/>
      <c r="R104" s="1637"/>
      <c r="U104" s="545"/>
      <c r="AA104" s="1633"/>
      <c r="AB104" s="1633"/>
      <c r="AC104" s="1633"/>
      <c r="AD104" s="1633"/>
      <c r="AE104" s="1633"/>
      <c r="AF104" s="1161">
        <v>0</v>
      </c>
    </row>
    <row s="1367" customFormat="1" customHeight="1" ht="18.75">
      <c r="A105" s="2372"/>
      <c r="C105" s="1637"/>
      <c r="D105" s="1639"/>
      <c r="E105" s="547" t="str">
        <f>FHD_NUM_P_65</f>
        <v>10</v>
      </c>
      <c r="F105" s="188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8" t="s">
        <v>616</v>
      </c>
      <c r="H105" s="578"/>
      <c r="I105" s="578"/>
      <c r="J105" s="29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4"/>
      <c r="L105" s="1637"/>
      <c r="M105" s="1637"/>
      <c r="R105" s="1637"/>
      <c r="U105" s="545"/>
      <c r="AA105" s="1633"/>
      <c r="AB105" s="1633"/>
      <c r="AC105" s="1633"/>
      <c r="AD105" s="1633"/>
      <c r="AE105" s="1633"/>
      <c r="AF105" s="1161">
        <v>0</v>
      </c>
    </row>
    <row s="1367" customFormat="1" customHeight="1" ht="18.75">
      <c r="A106" s="2372"/>
      <c r="C106" s="1637"/>
      <c r="D106" s="1639"/>
      <c r="E106" s="547" t="str">
        <f>FHD_NUM_P_66</f>
        <v>10.1</v>
      </c>
      <c r="F106" s="1525" t="str">
        <f>FHD_P_66</f>
        <v>По приборам учёта </v>
      </c>
      <c r="G106" s="1878" t="s">
        <v>616</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c r="A107" s="2372"/>
      <c r="C107" s="1637"/>
      <c r="D107" s="1639"/>
      <c r="E107" s="547" t="str">
        <f>FHD_NUM_P_67</f>
        <v>10.1.1</v>
      </c>
      <c r="F107" s="165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8" t="s">
        <v>616</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c r="A108" s="2372"/>
      <c r="C108" s="1637"/>
      <c r="D108" s="1639"/>
      <c r="E108" s="547" t="str">
        <f>FHD_NUM_P_68</f>
        <v>10.2</v>
      </c>
      <c r="F108" s="1525" t="str">
        <f>FHD_P_68</f>
        <v>Расчётным путём</v>
      </c>
      <c r="G108" s="1878" t="s">
        <v>616</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c r="A109" s="2372"/>
      <c r="C109" s="1637"/>
      <c r="D109" s="1639"/>
      <c r="E109" s="547" t="str">
        <f>FHD_NUM_P_69</f>
        <v>10.3</v>
      </c>
      <c r="F109" s="1525" t="str">
        <f>FHD_P_69</f>
        <v>По нормативам потребления коммунальных услуг и нормативам потребления коммунальных ресурсов</v>
      </c>
      <c r="G109" s="1878" t="s">
        <v>616</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c r="A110" s="2372"/>
      <c r="C110" s="1637"/>
      <c r="D110" s="1639"/>
      <c r="E110" s="547" t="str">
        <f>FHD_NUM_P_70</f>
        <v>11</v>
      </c>
      <c r="F110" s="1881"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8" t="s">
        <v>622</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c r="A111" s="2372"/>
      <c r="C111" s="1637"/>
      <c r="D111" s="1639"/>
      <c r="E111" s="547" t="str">
        <f>FHD_NUM_P_71</f>
        <v>12</v>
      </c>
      <c r="F111" s="1881" t="str">
        <f>FHD_P_71</f>
        <v>Фактический объем потерь при передаче тепловой энергии</v>
      </c>
      <c r="G111" s="1878" t="s">
        <v>622</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13</v>
      </c>
      <c r="F112" s="1881" t="str">
        <f>FHD_P_72</f>
        <v>Среднесписочная численность основного производственного персонала</v>
      </c>
      <c r="G112" s="1877" t="s">
        <v>623</v>
      </c>
      <c r="H112" s="578"/>
      <c r="I112" s="578"/>
      <c r="J112" s="290" t="str">
        <f>FHD_NOTE_P_72</f>
        <v/>
      </c>
      <c r="K112" s="544"/>
      <c r="AF112" s="1632">
        <v>19</v>
      </c>
    </row>
    <row customHeight="1" ht="18.75">
      <c r="A113" s="990" t="s">
        <v>624</v>
      </c>
      <c r="D113" s="1639"/>
      <c r="E113" s="547" t="str">
        <f>FHD_NUM_P_73</f>
        <v>14</v>
      </c>
      <c r="F113" s="1881" t="str">
        <f>FHD_P_73</f>
        <v>Среднесписочная численность административно-управленческого персонала</v>
      </c>
      <c r="G113" s="971" t="s">
        <v>623</v>
      </c>
      <c r="H113" s="969"/>
      <c r="I113" s="969"/>
      <c r="J113" s="290" t="str">
        <f>FHD_NOTE_P_73</f>
        <v/>
      </c>
      <c r="K113" s="544"/>
      <c r="AF113" s="1632">
        <v>0</v>
      </c>
    </row>
    <row customHeight="1" ht="33.75" hidden="1">
      <c r="A114" s="990" t="s">
        <v>625</v>
      </c>
      <c r="D114" s="1639"/>
      <c r="E114" s="547" t="str">
        <f>FHD_NUM_P_74</f>
        <v/>
      </c>
      <c r="F114" s="1881" t="str">
        <f>FHD_P_74</f>
        <v/>
      </c>
      <c r="G114" s="1877" t="s">
        <v>626</v>
      </c>
      <c r="H114" s="578"/>
      <c r="I114" s="578"/>
      <c r="J114" s="290" t="str">
        <f>FHD_NOTE_P_74</f>
        <v/>
      </c>
      <c r="K114" s="544"/>
      <c r="AF114" s="1632">
        <v>0</v>
      </c>
    </row>
    <row s="1636" customFormat="1" customHeight="1" ht="18.75" hidden="1">
      <c r="A115" s="2374" t="s">
        <v>627</v>
      </c>
      <c r="B115" s="911"/>
      <c r="C115" s="736"/>
      <c r="D115" s="734"/>
      <c r="E115" s="547" t="str">
        <f>FHD_NUM_P_75</f>
        <v/>
      </c>
      <c r="F115" s="1881" t="str">
        <f>FHD_P_75</f>
        <v/>
      </c>
      <c r="G115" s="1877" t="s">
        <v>591</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591</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591</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628</v>
      </c>
      <c r="G119" s="748"/>
      <c r="H119" s="749"/>
      <c r="I119" s="749"/>
      <c r="J119" s="1004" t="s">
        <v>629</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c r="A120" s="2372" t="s">
        <v>630</v>
      </c>
      <c r="D120" s="1639"/>
      <c r="E120" s="547" t="str">
        <f>FHD_NUM_P_78</f>
        <v>15</v>
      </c>
      <c r="F120" s="188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8" t="s">
        <v>593</v>
      </c>
      <c r="H120" s="578"/>
      <c r="I120" s="578"/>
      <c r="J120" s="290" t="str">
        <f>FHD_NOTE_P_78</f>
        <v/>
      </c>
      <c r="K120" s="544"/>
      <c r="AF120" s="1632">
        <v>0</v>
      </c>
    </row>
    <row s="1643" customFormat="1" customHeight="1" ht="0.75">
      <c r="A121" s="2372"/>
      <c r="D121" s="549"/>
      <c r="E121" s="1014" t="str">
        <f>E120&amp;".0"</f>
        <v>15.0</v>
      </c>
      <c r="F121" s="998"/>
      <c r="G121" s="1652"/>
      <c r="H121" s="993"/>
      <c r="I121" s="993"/>
      <c r="J121" s="997"/>
      <c r="AF121" s="1637">
        <v>0</v>
      </c>
    </row>
    <row customHeight="1" ht="15">
      <c r="A122" s="2372"/>
      <c r="D122" s="1634"/>
      <c r="E122" s="571"/>
      <c r="F122" s="1169" t="s">
        <v>619</v>
      </c>
      <c r="G122" s="573"/>
      <c r="H122" s="574"/>
      <c r="I122" s="574"/>
      <c r="J122" s="1005" t="s">
        <v>631</v>
      </c>
      <c r="K122" s="544"/>
      <c r="AF122" s="1632">
        <v>0</v>
      </c>
    </row>
    <row customHeight="1" ht="22.5">
      <c r="A123" s="2372"/>
      <c r="D123" s="1639"/>
      <c r="E123" s="547" t="str">
        <f>FHD_NUM_P_79</f>
        <v>16</v>
      </c>
      <c r="F123" s="188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9" t="s">
        <v>595</v>
      </c>
      <c r="H123" s="578"/>
      <c r="I123" s="578"/>
      <c r="J123" s="29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4"/>
      <c r="AF123" s="1632">
        <v>0</v>
      </c>
    </row>
    <row s="1643" customFormat="1" customHeight="1" ht="0.75">
      <c r="A124" s="2372"/>
      <c r="D124" s="549"/>
      <c r="E124" s="1014" t="str">
        <f>E123&amp;".0"</f>
        <v>16.0</v>
      </c>
      <c r="F124" s="999"/>
      <c r="G124" s="1652"/>
      <c r="H124" s="993"/>
      <c r="I124" s="993"/>
      <c r="J124" s="997"/>
      <c r="AF124" s="1637">
        <v>0</v>
      </c>
    </row>
    <row customHeight="1" ht="15">
      <c r="A125" s="2372"/>
      <c r="D125" s="1634"/>
      <c r="E125" s="571"/>
      <c r="F125" s="1169" t="s">
        <v>619</v>
      </c>
      <c r="G125" s="573"/>
      <c r="H125" s="574"/>
      <c r="I125" s="574"/>
      <c r="J125" s="1005" t="s">
        <v>632</v>
      </c>
      <c r="K125" s="544"/>
      <c r="AF125" s="1632">
        <v>0</v>
      </c>
    </row>
    <row customHeight="1" ht="22.5">
      <c r="A126" s="2372"/>
      <c r="D126" s="1639"/>
      <c r="E126" s="547" t="str">
        <f>FHD_NUM_P_80</f>
        <v>17</v>
      </c>
      <c r="F126" s="188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9" t="s">
        <v>633</v>
      </c>
      <c r="H126" s="558"/>
      <c r="I126" s="558"/>
      <c r="J126" s="290" t="str">
        <f>FHD_NOTE_P_80</f>
        <v>Регулируемыми организациями указывается информация с по договорам, заключенным в рамках осуществления регулируемой деятельности.</v>
      </c>
      <c r="K126" s="544"/>
      <c r="AF126" s="1632">
        <v>0</v>
      </c>
    </row>
    <row customHeight="1" ht="18.75">
      <c r="A127" s="2372"/>
      <c r="D127" s="1639"/>
      <c r="E127" s="547" t="str">
        <f>FHD_NUM_P_81</f>
        <v>18</v>
      </c>
      <c r="F127" s="188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9" t="s">
        <v>634</v>
      </c>
      <c r="H127" s="558"/>
      <c r="I127" s="558"/>
      <c r="J127" s="290" t="str">
        <f>FHD_NOTE_P_81</f>
        <v>Регулируемыми организациями указывается информация с по договорам, заключенным в рамках осуществления регулируемой деятельности.</v>
      </c>
      <c r="K127" s="544"/>
      <c r="AF127" s="1632">
        <v>0</v>
      </c>
    </row>
    <row customHeight="1" ht="18.75">
      <c r="A128" s="2372"/>
      <c r="C128" s="1637" t="s">
        <v>621</v>
      </c>
      <c r="D128" s="1639"/>
      <c r="E128" s="547" t="str">
        <f>FHD_NUM_P_82</f>
        <v>19</v>
      </c>
      <c r="F128" s="188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9" t="s">
        <v>339</v>
      </c>
      <c r="H128" s="402"/>
      <c r="I128" s="402"/>
      <c r="J128" s="290" t="str">
        <f>FHD_NOTE_P_82</f>
        <v>Указывается ссылка на документ, предварительно загруженный в хранилище файлов ФГИС ЕИАС.</v>
      </c>
      <c r="K128" s="544"/>
      <c r="AF128" s="1632">
        <v>0</v>
      </c>
    </row>
    <row customHeight="1" ht="18.75">
      <c r="A129" s="2372"/>
      <c r="C129" s="1637" t="s">
        <v>621</v>
      </c>
      <c r="D129" s="1639"/>
      <c r="E129" s="547" t="str">
        <f>FHD_NUM_P_83</f>
        <v>19.1</v>
      </c>
      <c r="F129" s="1525" t="str">
        <f>FHD_P_83</f>
        <v>Информация о показателях физического износа объектов теплоснабжения</v>
      </c>
      <c r="G129" s="1879" t="s">
        <v>339</v>
      </c>
      <c r="H129" s="402"/>
      <c r="I129" s="402"/>
      <c r="J129" s="290" t="str">
        <f>FHD_NOTE_P_83</f>
        <v>Указывается ссылка на документ, предварительно загруженный в хранилище файлов ФГИС ЕИАС.</v>
      </c>
      <c r="K129" s="544"/>
      <c r="AF129" s="1632">
        <v>0</v>
      </c>
    </row>
    <row customHeight="1" ht="18.75">
      <c r="A130" s="2372"/>
      <c r="C130" s="1637" t="s">
        <v>621</v>
      </c>
      <c r="D130" s="1639"/>
      <c r="E130" s="547" t="str">
        <f>FHD_NUM_P_84</f>
        <v>19.2</v>
      </c>
      <c r="F130" s="1525" t="str">
        <f>FHD_P_84</f>
        <v>Информация о показателях энергетической эффективности объектов теплоснабжения</v>
      </c>
      <c r="G130" s="1879" t="s">
        <v>339</v>
      </c>
      <c r="H130" s="402"/>
      <c r="I130" s="402"/>
      <c r="J130" s="290" t="str">
        <f>FHD_NOTE_P_84</f>
        <v>Указывается ссылка на документ, предварительно загруженный в хранилище файлов ФГИС ЕИАС.</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85</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0002C4-C768-EFBE-4AB3-A197F1C50976}"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11. Информация о расходах на капитальный и текущий ремонт основных средств</v>
      </c>
      <c r="F5" s="2238"/>
      <c r="G5" s="2238"/>
      <c r="H5" s="2238"/>
      <c r="I5" s="2238"/>
      <c r="J5" s="2238"/>
      <c r="K5" s="2238"/>
      <c r="L5" s="614"/>
      <c r="M5" s="614"/>
      <c r="CF5" s="506">
        <v>28</v>
      </c>
    </row>
    <row s="1636" customFormat="1" customHeight="1" ht="16.8">
      <c r="A6" s="611"/>
      <c r="B6" s="760"/>
      <c r="C6" s="510"/>
      <c r="D6" s="1059"/>
      <c r="E6" s="2177" t="str">
        <f>IF(org=0,"Не определено",org)</f>
        <v>КГУП "Примтеплоэнерго"</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333</v>
      </c>
      <c r="F9" s="2103"/>
      <c r="G9" s="2103"/>
      <c r="H9" s="2103"/>
      <c r="I9" s="2103"/>
      <c r="J9" s="2103"/>
      <c r="K9" s="2103"/>
      <c r="L9" s="2103"/>
      <c r="M9" s="2103"/>
      <c r="N9" s="2103"/>
      <c r="O9" s="2103"/>
      <c r="P9" s="2103"/>
      <c r="Q9" s="2103"/>
      <c r="R9" s="2104"/>
      <c r="S9" s="2128" t="s">
        <v>334</v>
      </c>
      <c r="T9" s="335"/>
      <c r="CF9" s="506">
        <v>19</v>
      </c>
    </row>
    <row customHeight="1" ht="48.29999999999999">
      <c r="D10" s="552" t="s">
        <v>91</v>
      </c>
      <c r="E10" s="2128" t="s">
        <v>91</v>
      </c>
      <c r="F10" s="2128"/>
      <c r="G10" s="522" t="s">
        <v>335</v>
      </c>
      <c r="H10" s="2128" t="s">
        <v>91</v>
      </c>
      <c r="I10" s="2128"/>
      <c r="J10" s="522" t="s">
        <v>635</v>
      </c>
      <c r="K10" s="522" t="s">
        <v>636</v>
      </c>
      <c r="L10" s="2128" t="s">
        <v>91</v>
      </c>
      <c r="M10" s="2128"/>
      <c r="N10" s="522" t="s">
        <v>637</v>
      </c>
      <c r="O10" s="522" t="s">
        <v>638</v>
      </c>
      <c r="P10" s="522" t="s">
        <v>639</v>
      </c>
      <c r="Q10" s="522" t="s">
        <v>640</v>
      </c>
      <c r="R10" s="522" t="s">
        <v>641</v>
      </c>
      <c r="S10" s="2128"/>
      <c r="T10" s="335"/>
      <c r="CF10" s="506">
        <v>46</v>
      </c>
    </row>
    <row s="1643" customFormat="1" customHeight="1" ht="15" hidden="1">
      <c r="A11" s="1053"/>
      <c r="D11" s="1026" t="s">
        <v>124</v>
      </c>
      <c r="E11" s="1026"/>
      <c r="F11" s="1026" t="s">
        <v>107</v>
      </c>
      <c r="G11" s="1026" t="s">
        <v>93</v>
      </c>
      <c r="H11" s="1026"/>
      <c r="I11" s="1026" t="s">
        <v>94</v>
      </c>
      <c r="J11" s="1026" t="s">
        <v>125</v>
      </c>
      <c r="K11" s="1026" t="s">
        <v>95</v>
      </c>
      <c r="L11" s="1026"/>
      <c r="M11" s="1026" t="s">
        <v>96</v>
      </c>
      <c r="N11" s="1026" t="s">
        <v>126</v>
      </c>
      <c r="O11" s="1026" t="s">
        <v>162</v>
      </c>
      <c r="P11" s="1026" t="s">
        <v>163</v>
      </c>
      <c r="Q11" s="1026" t="s">
        <v>164</v>
      </c>
      <c r="R11" s="1026" t="s">
        <v>165</v>
      </c>
      <c r="S11" s="1026" t="s">
        <v>166</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409</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131</v>
      </c>
      <c r="B14" s="625"/>
      <c r="C14" s="625"/>
      <c r="D14" s="2381" t="s">
        <v>124</v>
      </c>
      <c r="E14" s="2378" t="s">
        <v>120</v>
      </c>
      <c r="F14" s="2379"/>
      <c r="G14" s="2380"/>
      <c r="H14" s="2384">
        <f>IF(A14="","",INDEX(DIFFERENTIATION_UNMERGE_VD,MATCH(A14,DIFFERENTIATION_ID_DIFF,0)))</f>
        <v>0</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28</v>
      </c>
      <c r="AF14" s="631"/>
      <c r="AG14" s="632" t="s">
        <v>642</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597</v>
      </c>
      <c r="F15" s="2379"/>
      <c r="G15" s="2380"/>
      <c r="H15" s="2384" t="str">
        <f>IF(A14="","",INDEX(DIFFERENTIATION_UNMERGE_AREA,MATCH(A14,DIFFERENTIATION_ID_DIFF,0)))</f>
        <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598</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643</v>
      </c>
      <c r="F17" s="2377"/>
      <c r="G17" s="2377"/>
      <c r="H17" s="2377"/>
      <c r="I17" s="2377"/>
      <c r="J17" s="2377"/>
      <c r="K17" s="2377"/>
      <c r="L17" s="2377"/>
      <c r="M17" s="2377"/>
      <c r="N17" s="2377"/>
      <c r="O17" s="2377"/>
      <c r="P17" s="2377"/>
      <c r="Q17" s="559">
        <f>SUMIF(T18:T19,"i",Q18:Q19)</f>
        <v>0</v>
      </c>
      <c r="R17" s="1018"/>
      <c r="S17" s="898" t="s">
        <v>644</v>
      </c>
      <c r="T17" s="718" t="s">
        <v>645</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28</v>
      </c>
      <c r="F19" s="651" t="s">
        <v>28</v>
      </c>
      <c r="G19" s="651" t="s">
        <v>28</v>
      </c>
      <c r="H19" s="652" t="s">
        <v>28</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646</v>
      </c>
      <c r="F20" s="2377"/>
      <c r="G20" s="2377"/>
      <c r="H20" s="2377"/>
      <c r="I20" s="2377"/>
      <c r="J20" s="2377"/>
      <c r="K20" s="2377"/>
      <c r="L20" s="2377"/>
      <c r="M20" s="2377"/>
      <c r="N20" s="2377"/>
      <c r="O20" s="2377"/>
      <c r="P20" s="2377"/>
      <c r="Q20" s="559">
        <f>SUMIF(T21:T22,"i",Q21:Q22)</f>
        <v>0</v>
      </c>
      <c r="R20" s="1018"/>
      <c r="S20" s="710" t="s">
        <v>647</v>
      </c>
      <c r="T20" s="718" t="s">
        <v>645</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28</v>
      </c>
      <c r="F22" s="651" t="s">
        <v>28</v>
      </c>
      <c r="G22" s="651" t="s">
        <v>28</v>
      </c>
      <c r="H22" s="652" t="s">
        <v>28</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85</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058CF8-6048-05DD-EE02-4EC92CF5A298}"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648</v>
      </c>
      <c r="C2" s="2054" t="s">
        <v>649</v>
      </c>
      <c r="D2" s="2053" t="s">
        <v>650</v>
      </c>
      <c r="E2" s="2057">
        <f>RIGHT(I2,LEN(I2)-SEARCH("#",SUBSTITUTE(I2,".","#",LEN(I2)-LEN(SUBSTITUTE(I2,".","")))))</f>
      </c>
      <c r="F2" s="2059">
        <f>J2</f>
        <v>0</v>
      </c>
      <c r="G2" s="1637"/>
      <c r="H2" s="2060"/>
      <c r="I2" s="2050"/>
      <c r="J2" s="541"/>
      <c r="K2" s="2020" t="s">
        <v>589</v>
      </c>
      <c r="L2" s="752"/>
      <c r="M2" s="752"/>
      <c r="N2" s="544"/>
      <c r="O2" s="1526" t="s">
        <v>590</v>
      </c>
      <c r="P2" s="544"/>
      <c r="Q2" s="1637"/>
      <c r="R2" s="1637"/>
      <c r="W2" s="1637"/>
      <c r="Z2" s="545"/>
      <c r="AF2" s="1633"/>
      <c r="AG2" s="1633"/>
      <c r="AH2" s="1633"/>
      <c r="AI2" s="1633"/>
      <c r="AJ2" s="1633"/>
      <c r="AK2" s="1367">
        <v>0</v>
      </c>
    </row>
    <row customHeight="1" ht="11.25" hidden="1">
      <c r="E3" s="2052" t="s">
        <v>651</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652</v>
      </c>
      <c r="J6" s="2308"/>
      <c r="K6" s="2308"/>
      <c r="L6" s="2308"/>
      <c r="M6" s="2308"/>
      <c r="O6" s="557"/>
      <c r="AK6" s="1632">
        <v>55</v>
      </c>
    </row>
    <row customHeight="1" ht="25.2">
      <c r="I7" s="2250" t="str">
        <f>IF(org=0,"Не определено",org)</f>
        <v>КГУП "Примтеплоэнерго"</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131</v>
      </c>
      <c r="AK9" s="1637">
        <v>1</v>
      </c>
    </row>
    <row customHeight="1" ht="11.549999999999999">
      <c r="E10" s="2051" t="s">
        <v>653</v>
      </c>
      <c r="I10" s="712"/>
      <c r="J10" s="2368" t="s">
        <v>120</v>
      </c>
      <c r="K10" s="2369"/>
      <c r="L10" s="2030" t="str">
        <f>IF(L9="","",INDEX(DIFFERENTIATION_UNMERGE_VD,MATCH(L9,DIFFERENTIATION_ID_DIFF,0)))</f>
        <v/>
      </c>
      <c r="M10" s="2030">
        <f>IF(M9="","",INDEX(DIFFERENTIATION_UNMERGE_VD,MATCH(M9,DIFFERENTIATION_ID_DIFF,0)))</f>
        <v>0</v>
      </c>
      <c r="O10" s="2128" t="s">
        <v>334</v>
      </c>
      <c r="AK10" s="1632">
        <v>11</v>
      </c>
    </row>
    <row customHeight="1" ht="11.549999999999999">
      <c r="E11" s="2051" t="s">
        <v>654</v>
      </c>
      <c r="I11" s="712"/>
      <c r="J11" s="2368" t="s">
        <v>597</v>
      </c>
      <c r="K11" s="2369"/>
      <c r="L11" s="2030" t="str">
        <f>IF(L9="","",INDEX(DIFFERENTIATION_UNMERGE_AREA,MATCH(L9,DIFFERENTIATION_ID_DIFF,0)))</f>
        <v/>
      </c>
      <c r="M11" s="2030" t="str">
        <f>IF(M9="","",INDEX(DIFFERENTIATION_UNMERGE_AREA,MATCH(M9,DIFFERENTIATION_ID_DIFF,0)))</f>
        <v/>
      </c>
      <c r="O11" s="2128"/>
      <c r="AK11" s="1632">
        <v>11</v>
      </c>
    </row>
    <row customHeight="1" ht="11.549999999999999">
      <c r="E12" s="2051" t="s">
        <v>655</v>
      </c>
      <c r="I12" s="1663"/>
      <c r="J12" s="2368" t="s">
        <v>598</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549999999999999">
      <c r="E13" s="2051" t="s">
        <v>656</v>
      </c>
      <c r="F13" s="2051" t="s">
        <v>657</v>
      </c>
      <c r="I13" s="2370" t="s">
        <v>333</v>
      </c>
      <c r="J13" s="2371"/>
      <c r="K13" s="2371"/>
      <c r="L13" s="2028"/>
      <c r="M13" s="2068"/>
      <c r="O13" s="2128"/>
      <c r="AK13" s="1632">
        <v>11</v>
      </c>
    </row>
    <row customHeight="1" ht="24">
      <c r="I14" s="2021" t="s">
        <v>91</v>
      </c>
      <c r="J14" s="2021" t="s">
        <v>335</v>
      </c>
      <c r="K14" s="2021" t="s">
        <v>599</v>
      </c>
      <c r="L14" s="2061" t="s">
        <v>336</v>
      </c>
      <c r="M14" s="2062" t="s">
        <v>336</v>
      </c>
      <c r="O14" s="2128"/>
      <c r="AK14" s="1632">
        <v>23</v>
      </c>
    </row>
    <row customHeight="1" ht="24">
      <c r="A15" s="2055"/>
      <c r="B15" s="2054" t="s">
        <v>658</v>
      </c>
      <c r="C15" s="2054" t="s">
        <v>659</v>
      </c>
      <c r="D15" s="2053" t="s">
        <v>660</v>
      </c>
      <c r="E15" s="2057" t="s">
        <v>661</v>
      </c>
      <c r="F15" s="2057" t="s">
        <v>661</v>
      </c>
      <c r="G15" s="1637" t="s">
        <v>621</v>
      </c>
      <c r="H15" s="2022"/>
      <c r="I15" s="1631">
        <v>1</v>
      </c>
      <c r="J15" s="2023" t="s">
        <v>662</v>
      </c>
      <c r="K15" s="2021" t="s">
        <v>339</v>
      </c>
      <c r="L15" s="663"/>
      <c r="M15" s="819"/>
      <c r="N15" s="544" t="s">
        <v>663</v>
      </c>
      <c r="O15" s="1526" t="s">
        <v>664</v>
      </c>
      <c r="P15" s="544" t="s">
        <v>663</v>
      </c>
      <c r="AK15" s="1632">
        <v>23</v>
      </c>
    </row>
    <row customHeight="1" ht="35.699999999999996">
      <c r="A16" s="2055"/>
      <c r="B16" s="2054" t="s">
        <v>665</v>
      </c>
      <c r="C16" s="2054" t="s">
        <v>666</v>
      </c>
      <c r="D16" s="2053" t="s">
        <v>650</v>
      </c>
      <c r="E16" s="2057" t="s">
        <v>661</v>
      </c>
      <c r="F16" s="2057" t="s">
        <v>661</v>
      </c>
      <c r="H16" s="2022"/>
      <c r="I16" s="1630">
        <v>2</v>
      </c>
      <c r="J16" s="2064" t="s">
        <v>667</v>
      </c>
      <c r="K16" s="2063" t="s">
        <v>589</v>
      </c>
      <c r="L16" s="2069"/>
      <c r="M16" s="1677"/>
      <c r="N16" s="544" t="s">
        <v>663</v>
      </c>
      <c r="O16" s="1526" t="s">
        <v>668</v>
      </c>
      <c r="P16" s="544" t="s">
        <v>663</v>
      </c>
      <c r="AK16" s="1632">
        <v>34</v>
      </c>
    </row>
    <row s="1643" customFormat="1" customHeight="1" ht="17.25" hidden="1">
      <c r="A17" s="1168"/>
      <c r="B17" s="1168"/>
      <c r="C17" s="1168"/>
      <c r="D17" s="1168"/>
      <c r="E17" s="1168"/>
      <c r="H17" s="1325"/>
      <c r="I17" s="1014" t="s">
        <v>669</v>
      </c>
      <c r="J17" s="992"/>
      <c r="K17" s="1014"/>
      <c r="L17" s="993"/>
      <c r="M17" s="993"/>
      <c r="O17" s="1386"/>
      <c r="AK17" s="1637">
        <v>1</v>
      </c>
    </row>
    <row s="1367" customFormat="1" customHeight="1" ht="24">
      <c r="A18" s="988"/>
      <c r="B18" s="988"/>
      <c r="C18" s="988"/>
      <c r="D18" s="988"/>
      <c r="E18" s="988"/>
      <c r="G18" s="1637"/>
      <c r="H18" s="1634"/>
      <c r="I18" s="571"/>
      <c r="J18" s="572" t="s">
        <v>619</v>
      </c>
      <c r="K18" s="573"/>
      <c r="L18" s="2071"/>
      <c r="M18" s="574"/>
      <c r="N18" s="544"/>
      <c r="O18" s="1526" t="s">
        <v>620</v>
      </c>
      <c r="P18" s="544"/>
      <c r="Q18" s="1637"/>
      <c r="R18" s="1637"/>
      <c r="W18" s="1637"/>
      <c r="Z18" s="545"/>
      <c r="AF18" s="1633"/>
      <c r="AG18" s="1633"/>
      <c r="AH18" s="1633"/>
      <c r="AI18" s="1633"/>
      <c r="AJ18" s="1633"/>
      <c r="AK18" s="1367">
        <v>23</v>
      </c>
    </row>
    <row customHeight="1" ht="19.95">
      <c r="A19" s="2055"/>
      <c r="B19" s="2054" t="s">
        <v>670</v>
      </c>
      <c r="C19" s="2054" t="s">
        <v>671</v>
      </c>
      <c r="D19" s="2053" t="s">
        <v>650</v>
      </c>
      <c r="E19" s="2057" t="s">
        <v>661</v>
      </c>
      <c r="F19" s="2057" t="s">
        <v>661</v>
      </c>
      <c r="H19" s="2022"/>
      <c r="I19" s="1665">
        <v>3</v>
      </c>
      <c r="J19" s="2023" t="s">
        <v>671</v>
      </c>
      <c r="K19" s="2019" t="s">
        <v>589</v>
      </c>
      <c r="L19" s="728"/>
      <c r="M19" s="558"/>
      <c r="N19" s="544"/>
      <c r="O19" s="1526" t="s">
        <v>672</v>
      </c>
      <c r="P19" s="544"/>
      <c r="AK19" s="1632">
        <v>19</v>
      </c>
    </row>
    <row customHeight="1" ht="77.7">
      <c r="A20" s="2055"/>
      <c r="B20" s="2054" t="s">
        <v>673</v>
      </c>
      <c r="C20" s="2054" t="s">
        <v>674</v>
      </c>
      <c r="D20" s="2053" t="s">
        <v>650</v>
      </c>
      <c r="E20" s="2057" t="s">
        <v>661</v>
      </c>
      <c r="F20" s="2057" t="s">
        <v>661</v>
      </c>
      <c r="H20" s="2022"/>
      <c r="I20" s="1665">
        <v>4</v>
      </c>
      <c r="J20" s="2023" t="s">
        <v>675</v>
      </c>
      <c r="K20" s="2019" t="s">
        <v>616</v>
      </c>
      <c r="L20" s="728"/>
      <c r="M20" s="558"/>
      <c r="N20" s="544"/>
      <c r="O20" s="1526"/>
      <c r="P20" s="544"/>
      <c r="AK20" s="1632">
        <v>74</v>
      </c>
    </row>
    <row customHeight="1" ht="35.699999999999996">
      <c r="A21" s="2055"/>
      <c r="B21" s="2054" t="s">
        <v>676</v>
      </c>
      <c r="C21" s="2054" t="s">
        <v>677</v>
      </c>
      <c r="D21" s="2053" t="s">
        <v>650</v>
      </c>
      <c r="E21" s="2057" t="s">
        <v>661</v>
      </c>
      <c r="F21" s="2057" t="s">
        <v>661</v>
      </c>
      <c r="H21" s="2022"/>
      <c r="I21" s="1665">
        <v>5</v>
      </c>
      <c r="J21" s="2023" t="s">
        <v>678</v>
      </c>
      <c r="K21" s="2019" t="s">
        <v>616</v>
      </c>
      <c r="L21" s="728"/>
      <c r="M21" s="558"/>
      <c r="N21" s="544"/>
      <c r="O21" s="1526" t="s">
        <v>672</v>
      </c>
      <c r="P21" s="544"/>
      <c r="AK21" s="1632">
        <v>34</v>
      </c>
    </row>
    <row customHeight="1" ht="48.29999999999999">
      <c r="A22" s="2055"/>
      <c r="B22" s="2054" t="s">
        <v>679</v>
      </c>
      <c r="C22" s="2054" t="s">
        <v>680</v>
      </c>
      <c r="D22" s="2053" t="s">
        <v>650</v>
      </c>
      <c r="E22" s="2057" t="s">
        <v>661</v>
      </c>
      <c r="F22" s="2057" t="s">
        <v>661</v>
      </c>
      <c r="H22" s="2022"/>
      <c r="I22" s="1665">
        <v>6</v>
      </c>
      <c r="J22" s="2023" t="s">
        <v>681</v>
      </c>
      <c r="K22" s="2019" t="s">
        <v>616</v>
      </c>
      <c r="L22" s="728"/>
      <c r="M22" s="558"/>
      <c r="N22" s="544"/>
      <c r="O22" s="1526" t="s">
        <v>682</v>
      </c>
      <c r="P22" s="544"/>
      <c r="AK22" s="1632">
        <v>46</v>
      </c>
    </row>
    <row customHeight="1" ht="19.95">
      <c r="A23" s="2055"/>
      <c r="B23" s="2054" t="s">
        <v>683</v>
      </c>
      <c r="C23" s="2054" t="s">
        <v>684</v>
      </c>
      <c r="D23" s="2053" t="s">
        <v>650</v>
      </c>
      <c r="E23" s="2057" t="s">
        <v>661</v>
      </c>
      <c r="F23" s="2057" t="s">
        <v>661</v>
      </c>
      <c r="H23" s="2022"/>
      <c r="I23" s="1665" t="s">
        <v>685</v>
      </c>
      <c r="J23" s="1525" t="s">
        <v>686</v>
      </c>
      <c r="K23" s="2019" t="s">
        <v>616</v>
      </c>
      <c r="L23" s="728"/>
      <c r="M23" s="558"/>
      <c r="N23" s="544"/>
      <c r="O23" s="1526" t="s">
        <v>672</v>
      </c>
      <c r="P23" s="544"/>
      <c r="AK23" s="1632">
        <v>19</v>
      </c>
    </row>
    <row customHeight="1" ht="19.95">
      <c r="A24" s="2055"/>
      <c r="B24" s="2054" t="s">
        <v>687</v>
      </c>
      <c r="C24" s="2054" t="s">
        <v>688</v>
      </c>
      <c r="D24" s="2053" t="s">
        <v>650</v>
      </c>
      <c r="E24" s="2057" t="s">
        <v>661</v>
      </c>
      <c r="F24" s="2057" t="s">
        <v>661</v>
      </c>
      <c r="H24" s="2022"/>
      <c r="I24" s="1665" t="s">
        <v>689</v>
      </c>
      <c r="J24" s="1525" t="s">
        <v>690</v>
      </c>
      <c r="K24" s="2019" t="s">
        <v>616</v>
      </c>
      <c r="L24" s="728"/>
      <c r="M24" s="558"/>
      <c r="N24" s="544"/>
      <c r="O24" s="1526"/>
      <c r="P24" s="544"/>
      <c r="AK24" s="1632">
        <v>19</v>
      </c>
    </row>
    <row customHeight="1" ht="24">
      <c r="A25" s="2055"/>
      <c r="B25" s="2054" t="s">
        <v>691</v>
      </c>
      <c r="C25" s="2054" t="s">
        <v>692</v>
      </c>
      <c r="D25" s="2053" t="s">
        <v>650</v>
      </c>
      <c r="E25" s="2057" t="s">
        <v>661</v>
      </c>
      <c r="F25" s="2057" t="s">
        <v>661</v>
      </c>
      <c r="H25" s="2022"/>
      <c r="I25" s="1665" t="s">
        <v>693</v>
      </c>
      <c r="J25" s="1525" t="s">
        <v>694</v>
      </c>
      <c r="K25" s="2019" t="s">
        <v>616</v>
      </c>
      <c r="L25" s="728"/>
      <c r="M25" s="558"/>
      <c r="N25" s="544"/>
      <c r="O25" s="1526"/>
      <c r="P25" s="544"/>
      <c r="AK25" s="1632">
        <v>23</v>
      </c>
    </row>
    <row customHeight="1" ht="24">
      <c r="A26" s="2055"/>
      <c r="B26" s="2054" t="s">
        <v>695</v>
      </c>
      <c r="C26" s="2054" t="s">
        <v>696</v>
      </c>
      <c r="D26" s="2053" t="s">
        <v>650</v>
      </c>
      <c r="E26" s="2057" t="s">
        <v>661</v>
      </c>
      <c r="F26" s="2057" t="s">
        <v>661</v>
      </c>
      <c r="H26" s="2022"/>
      <c r="I26" s="1665">
        <v>7</v>
      </c>
      <c r="J26" s="2023" t="s">
        <v>696</v>
      </c>
      <c r="K26" s="2019" t="s">
        <v>697</v>
      </c>
      <c r="L26" s="728"/>
      <c r="M26" s="558"/>
      <c r="N26" s="544"/>
      <c r="O26" s="1526"/>
      <c r="P26" s="544"/>
      <c r="AK26" s="1632">
        <v>23</v>
      </c>
    </row>
    <row customHeight="1" ht="24">
      <c r="A27" s="2055"/>
      <c r="B27" s="2054" t="s">
        <v>698</v>
      </c>
      <c r="C27" s="2054" t="s">
        <v>699</v>
      </c>
      <c r="D27" s="2053" t="s">
        <v>650</v>
      </c>
      <c r="E27" s="2057" t="s">
        <v>661</v>
      </c>
      <c r="F27" s="2057" t="s">
        <v>661</v>
      </c>
      <c r="H27" s="2022"/>
      <c r="I27" s="1665">
        <v>8</v>
      </c>
      <c r="J27" s="2023" t="s">
        <v>699</v>
      </c>
      <c r="K27" s="2019" t="s">
        <v>622</v>
      </c>
      <c r="L27" s="728"/>
      <c r="M27" s="558"/>
      <c r="N27" s="544"/>
      <c r="O27" s="1526"/>
      <c r="P27" s="544"/>
      <c r="AK27" s="1632">
        <v>23</v>
      </c>
    </row>
    <row customHeight="1" ht="35.699999999999996">
      <c r="A28" s="2055"/>
      <c r="B28" s="2054" t="s">
        <v>700</v>
      </c>
      <c r="C28" s="2054" t="s">
        <v>701</v>
      </c>
      <c r="D28" s="2053" t="s">
        <v>650</v>
      </c>
      <c r="E28" s="2057" t="s">
        <v>661</v>
      </c>
      <c r="F28" s="2057" t="s">
        <v>661</v>
      </c>
      <c r="H28" s="2022"/>
      <c r="I28" s="1676">
        <v>9</v>
      </c>
      <c r="J28" s="2023" t="s">
        <v>702</v>
      </c>
      <c r="K28" s="2019" t="s">
        <v>593</v>
      </c>
      <c r="L28" s="728"/>
      <c r="M28" s="558"/>
      <c r="N28" s="544"/>
      <c r="O28" s="1526"/>
      <c r="P28" s="544"/>
      <c r="AK28" s="1632">
        <v>34</v>
      </c>
    </row>
    <row customHeight="1" ht="35.699999999999996">
      <c r="A29" s="2055"/>
      <c r="B29" s="2054" t="s">
        <v>703</v>
      </c>
      <c r="C29" s="2054" t="s">
        <v>704</v>
      </c>
      <c r="D29" s="2053" t="s">
        <v>650</v>
      </c>
      <c r="E29" s="2057" t="s">
        <v>661</v>
      </c>
      <c r="F29" s="2057" t="s">
        <v>661</v>
      </c>
      <c r="H29" s="2022"/>
      <c r="I29" s="1676">
        <v>10</v>
      </c>
      <c r="J29" s="2023" t="s">
        <v>705</v>
      </c>
      <c r="K29" s="2019" t="s">
        <v>593</v>
      </c>
      <c r="L29" s="728"/>
      <c r="M29" s="558"/>
      <c r="N29" s="544"/>
      <c r="O29" s="1526"/>
      <c r="P29" s="544"/>
      <c r="AK29" s="1632">
        <v>34</v>
      </c>
    </row>
    <row customHeight="1" ht="24">
      <c r="A30" s="2055"/>
      <c r="B30" s="2054" t="s">
        <v>706</v>
      </c>
      <c r="C30" s="2054" t="s">
        <v>707</v>
      </c>
      <c r="D30" s="2053" t="s">
        <v>650</v>
      </c>
      <c r="E30" s="2057" t="s">
        <v>661</v>
      </c>
      <c r="F30" s="2057" t="s">
        <v>661</v>
      </c>
      <c r="H30" s="2022"/>
      <c r="I30" s="1676">
        <v>11</v>
      </c>
      <c r="J30" s="2023" t="s">
        <v>707</v>
      </c>
      <c r="K30" s="2019" t="s">
        <v>623</v>
      </c>
      <c r="L30" s="2070"/>
      <c r="M30" s="1622"/>
      <c r="N30" s="544"/>
      <c r="O30" s="1526"/>
      <c r="P30" s="544"/>
      <c r="AK30" s="1632">
        <v>23</v>
      </c>
    </row>
    <row customHeight="1" ht="24">
      <c r="A31" s="2055"/>
      <c r="B31" s="2054" t="s">
        <v>708</v>
      </c>
      <c r="C31" s="2054" t="s">
        <v>709</v>
      </c>
      <c r="D31" s="2053" t="s">
        <v>650</v>
      </c>
      <c r="E31" s="2057" t="s">
        <v>661</v>
      </c>
      <c r="F31" s="2057" t="s">
        <v>661</v>
      </c>
      <c r="H31" s="2022"/>
      <c r="I31" s="1676">
        <v>12</v>
      </c>
      <c r="J31" s="2023" t="s">
        <v>709</v>
      </c>
      <c r="K31" s="2019" t="s">
        <v>623</v>
      </c>
      <c r="L31" s="2070"/>
      <c r="M31" s="1622"/>
      <c r="N31" s="544"/>
      <c r="O31" s="1526"/>
      <c r="P31" s="544"/>
      <c r="AK31" s="1632">
        <v>23</v>
      </c>
    </row>
    <row customHeight="1" ht="48.29999999999999">
      <c r="A32" s="2055"/>
      <c r="B32" s="2054" t="s">
        <v>710</v>
      </c>
      <c r="C32" s="2054" t="s">
        <v>711</v>
      </c>
      <c r="D32" s="2053" t="s">
        <v>650</v>
      </c>
      <c r="E32" s="2057" t="s">
        <v>661</v>
      </c>
      <c r="F32" s="2057" t="s">
        <v>661</v>
      </c>
      <c r="H32" s="2022"/>
      <c r="I32" s="1676">
        <v>13</v>
      </c>
      <c r="J32" s="2023" t="s">
        <v>712</v>
      </c>
      <c r="K32" s="2019" t="s">
        <v>633</v>
      </c>
      <c r="L32" s="728"/>
      <c r="M32" s="558"/>
      <c r="N32" s="544"/>
      <c r="O32" s="1526" t="s">
        <v>672</v>
      </c>
      <c r="P32" s="544"/>
      <c r="AK32" s="1632">
        <v>46</v>
      </c>
    </row>
    <row s="1367" customFormat="1" customHeight="1" ht="48.29999999999999">
      <c r="A33" s="2055"/>
      <c r="B33" s="2054" t="s">
        <v>713</v>
      </c>
      <c r="C33" s="2054" t="s">
        <v>714</v>
      </c>
      <c r="D33" s="2053" t="s">
        <v>650</v>
      </c>
      <c r="E33" s="2057" t="s">
        <v>661</v>
      </c>
      <c r="F33" s="2057" t="s">
        <v>661</v>
      </c>
      <c r="G33" s="1637"/>
      <c r="H33" s="2022"/>
      <c r="I33" s="1676">
        <v>14</v>
      </c>
      <c r="J33" s="2035" t="s">
        <v>715</v>
      </c>
      <c r="K33" s="2024" t="s">
        <v>716</v>
      </c>
      <c r="L33" s="728"/>
      <c r="M33" s="558"/>
      <c r="N33" s="544"/>
      <c r="O33" s="1526" t="s">
        <v>672</v>
      </c>
      <c r="P33" s="544"/>
      <c r="Q33" s="1637"/>
      <c r="R33" s="1637"/>
      <c r="W33" s="1637"/>
      <c r="Z33" s="545"/>
      <c r="AF33" s="1633"/>
      <c r="AG33" s="1633"/>
      <c r="AH33" s="1633"/>
      <c r="AI33" s="1633"/>
      <c r="AJ33" s="1633"/>
      <c r="AK33" s="1367">
        <v>46</v>
      </c>
    </row>
    <row customHeight="1" ht="108">
      <c r="A34" s="2055"/>
      <c r="B34" s="2054" t="s">
        <v>717</v>
      </c>
      <c r="C34" s="2054" t="s">
        <v>718</v>
      </c>
      <c r="D34" s="2053" t="s">
        <v>660</v>
      </c>
      <c r="E34" s="2057" t="s">
        <v>661</v>
      </c>
      <c r="F34" s="2057" t="s">
        <v>661</v>
      </c>
      <c r="G34" s="1637" t="s">
        <v>621</v>
      </c>
      <c r="H34" s="2022"/>
      <c r="I34" s="2033">
        <v>15</v>
      </c>
      <c r="J34" s="2034" t="s">
        <v>719</v>
      </c>
      <c r="K34" s="2019" t="s">
        <v>339</v>
      </c>
      <c r="L34" s="386"/>
      <c r="M34" s="1165"/>
      <c r="N34" s="544"/>
      <c r="O34" s="1526" t="s">
        <v>664</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85</v>
      </c>
      <c r="B204" s="988" t="s">
        <v>163</v>
      </c>
      <c r="C204" s="988" t="s">
        <v>163</v>
      </c>
      <c r="D204" s="988" t="s">
        <v>163</v>
      </c>
      <c r="E204" s="988" t="s">
        <v>163</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D2A02B-4288-2C2D-71CC-E5A42730AC6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720</v>
      </c>
      <c r="C2" s="2054" t="s">
        <v>721</v>
      </c>
      <c r="D2" s="2053" t="s">
        <v>660</v>
      </c>
      <c r="E2" s="2059">
        <f>I2-3</f>
        <v>-3</v>
      </c>
      <c r="F2" s="2059">
        <f>J2</f>
        <v>0</v>
      </c>
      <c r="H2" s="1731" t="s">
        <v>108</v>
      </c>
      <c r="I2" s="2025"/>
      <c r="J2" s="1683"/>
      <c r="K2" s="2019" t="s">
        <v>339</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722</v>
      </c>
      <c r="J5" s="2249"/>
      <c r="K5" s="2249"/>
      <c r="L5" s="2249"/>
      <c r="M5" s="267"/>
      <c r="W5" s="1632">
        <v>48</v>
      </c>
    </row>
    <row customHeight="1" ht="18">
      <c r="H6" s="377"/>
      <c r="I6" s="2250" t="str">
        <f>IF(org=0,"Не определено",org)</f>
        <v>КГУП "Примтеплоэнерго"</v>
      </c>
      <c r="J6" s="2250"/>
      <c r="K6" s="2250"/>
      <c r="L6" s="2250"/>
      <c r="M6" s="267"/>
      <c r="W6" s="1632">
        <v>17</v>
      </c>
    </row>
    <row customHeight="1" ht="14.699999999999998">
      <c r="H7" s="377"/>
      <c r="I7" s="458"/>
      <c r="J7" s="464"/>
      <c r="K7" s="464"/>
      <c r="L7" s="753"/>
      <c r="M7" s="194"/>
      <c r="W7" s="1632">
        <v>14</v>
      </c>
    </row>
    <row customHeight="1" ht="14.699999999999998">
      <c r="H8" s="377"/>
      <c r="I8" s="2387" t="s">
        <v>333</v>
      </c>
      <c r="J8" s="2388"/>
      <c r="K8" s="2388"/>
      <c r="L8" s="2389"/>
      <c r="M8" s="2390" t="s">
        <v>334</v>
      </c>
      <c r="W8" s="1632">
        <v>14</v>
      </c>
    </row>
    <row customHeight="1" ht="35.699999999999996">
      <c r="E9" s="2052" t="s">
        <v>651</v>
      </c>
      <c r="F9" s="2052" t="s">
        <v>657</v>
      </c>
      <c r="H9" s="377"/>
      <c r="I9" s="2026" t="s">
        <v>91</v>
      </c>
      <c r="J9" s="2027" t="s">
        <v>335</v>
      </c>
      <c r="K9" s="2065" t="s">
        <v>599</v>
      </c>
      <c r="L9" s="2066" t="s">
        <v>336</v>
      </c>
      <c r="M9" s="2390"/>
      <c r="W9" s="1632">
        <v>34</v>
      </c>
    </row>
    <row customHeight="1" ht="35.699999999999996">
      <c r="B10" s="2054" t="s">
        <v>723</v>
      </c>
      <c r="C10" s="2054" t="s">
        <v>724</v>
      </c>
      <c r="D10" s="2053" t="s">
        <v>660</v>
      </c>
      <c r="E10" s="2057" t="s">
        <v>661</v>
      </c>
      <c r="F10" s="2057" t="s">
        <v>661</v>
      </c>
      <c r="H10" s="377"/>
      <c r="I10" s="2025" t="s">
        <v>124</v>
      </c>
      <c r="J10" s="1887" t="s">
        <v>725</v>
      </c>
      <c r="K10" s="2019" t="s">
        <v>339</v>
      </c>
      <c r="L10" s="819"/>
      <c r="M10" s="298" t="s">
        <v>726</v>
      </c>
      <c r="W10" s="1632">
        <v>34</v>
      </c>
    </row>
    <row customHeight="1" ht="50.25">
      <c r="B11" s="2054" t="s">
        <v>727</v>
      </c>
      <c r="C11" s="2054" t="s">
        <v>728</v>
      </c>
      <c r="D11" s="2053" t="s">
        <v>660</v>
      </c>
      <c r="E11" s="2057" t="s">
        <v>661</v>
      </c>
      <c r="F11" s="2057" t="s">
        <v>661</v>
      </c>
      <c r="H11" s="377"/>
      <c r="I11" s="2025" t="s">
        <v>107</v>
      </c>
      <c r="J11" s="1887" t="s">
        <v>729</v>
      </c>
      <c r="K11" s="2019" t="s">
        <v>339</v>
      </c>
      <c r="L11" s="819"/>
      <c r="M11" s="298" t="s">
        <v>726</v>
      </c>
      <c r="W11" s="1632">
        <v>48</v>
      </c>
    </row>
    <row customHeight="1" ht="48.29999999999999">
      <c r="B12" s="2054" t="s">
        <v>730</v>
      </c>
      <c r="C12" s="2054" t="s">
        <v>731</v>
      </c>
      <c r="D12" s="2053" t="s">
        <v>660</v>
      </c>
      <c r="E12" s="2057" t="s">
        <v>661</v>
      </c>
      <c r="F12" s="2057" t="s">
        <v>661</v>
      </c>
      <c r="H12" s="1689"/>
      <c r="I12" s="2025" t="s">
        <v>93</v>
      </c>
      <c r="J12" s="2032" t="s">
        <v>732</v>
      </c>
      <c r="K12" s="2019" t="s">
        <v>339</v>
      </c>
      <c r="L12" s="819"/>
      <c r="M12" s="298" t="s">
        <v>733</v>
      </c>
      <c r="N12" s="1625"/>
      <c r="P12" s="1632"/>
      <c r="W12" s="1632">
        <v>46</v>
      </c>
    </row>
    <row customHeight="1" ht="14.699999999999998">
      <c r="E13" s="344"/>
      <c r="H13" s="377"/>
      <c r="I13" s="348"/>
      <c r="J13" s="652" t="s">
        <v>734</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85</v>
      </c>
      <c r="B16" s="1632">
        <v>9</v>
      </c>
      <c r="C16" s="1632">
        <v>9</v>
      </c>
      <c r="D16" s="1632">
        <v>9</v>
      </c>
      <c r="E16" s="2031" t="s">
        <v>162</v>
      </c>
      <c r="F16" s="2056" t="s">
        <v>162</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AA2D8D-0A38-7F77-3798-DDD7B967B2E3}"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585</v>
      </c>
      <c r="H2" s="542"/>
      <c r="I2" s="542"/>
      <c r="J2" s="543" t="s">
        <v>735</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736</v>
      </c>
      <c r="F6" s="2308"/>
      <c r="G6" s="2308"/>
      <c r="H6" s="2308"/>
      <c r="I6" s="2308"/>
      <c r="J6" s="557"/>
      <c r="AF6" s="1632">
        <v>30</v>
      </c>
    </row>
    <row customHeight="1" ht="11.549999999999999">
      <c r="E7" s="2250" t="str">
        <f>IF(org=0,"Не определено",org)</f>
        <v>КГУП "Примтеплоэнерго"</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131</v>
      </c>
      <c r="AF9" s="1637">
        <v>4</v>
      </c>
    </row>
    <row customHeight="1" ht="11.549999999999999">
      <c r="E10" s="712"/>
      <c r="F10" s="2368" t="s">
        <v>120</v>
      </c>
      <c r="G10" s="2369"/>
      <c r="H10" s="1553" t="str">
        <f>IF(H9="","",INDEX(DIFFERENTIATION_UNMERGE_VD,MATCH(H9,DIFFERENTIATION_ID_DIFF,0)))</f>
        <v/>
      </c>
      <c r="I10" s="1553">
        <f>IF(I9="","",INDEX(DIFFERENTIATION_UNMERGE_VD,MATCH(I9,DIFFERENTIATION_ID_DIFF,0)))</f>
        <v>0</v>
      </c>
      <c r="J10" s="2128"/>
      <c r="AF10" s="1632">
        <v>11</v>
      </c>
    </row>
    <row customHeight="1" ht="11.549999999999999">
      <c r="E11" s="712"/>
      <c r="F11" s="2368" t="s">
        <v>597</v>
      </c>
      <c r="G11" s="2369"/>
      <c r="H11" s="1553" t="str">
        <f>IF(H9="","",INDEX(DIFFERENTIATION_UNMERGE_AREA,MATCH(H9,DIFFERENTIATION_ID_DIFF,0)))</f>
        <v/>
      </c>
      <c r="I11" s="1553" t="str">
        <f>IF(I9="","",INDEX(DIFFERENTIATION_UNMERGE_AREA,MATCH(I9,DIFFERENTIATION_ID_DIFF,0)))</f>
        <v/>
      </c>
      <c r="J11" s="2128"/>
      <c r="AF11" s="1632">
        <v>11</v>
      </c>
    </row>
    <row customHeight="1" ht="1.05">
      <c r="E12" s="1663"/>
      <c r="F12" s="2391" t="s">
        <v>598</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549999999999999">
      <c r="E13" s="2370" t="s">
        <v>333</v>
      </c>
      <c r="F13" s="2371"/>
      <c r="G13" s="2371"/>
      <c r="H13" s="1552"/>
      <c r="I13" s="1552"/>
      <c r="J13" s="2128"/>
      <c r="AF13" s="1632">
        <v>11</v>
      </c>
    </row>
    <row customHeight="1" ht="24">
      <c r="E14" s="1640" t="s">
        <v>91</v>
      </c>
      <c r="F14" s="1635" t="s">
        <v>335</v>
      </c>
      <c r="G14" s="1635" t="s">
        <v>599</v>
      </c>
      <c r="H14" s="1635" t="s">
        <v>336</v>
      </c>
      <c r="I14" s="1635" t="s">
        <v>336</v>
      </c>
      <c r="J14" s="2128"/>
      <c r="AF14" s="1632">
        <v>23</v>
      </c>
    </row>
    <row customHeight="1" ht="19.95">
      <c r="D15" s="1639"/>
      <c r="E15" s="1631" t="s">
        <v>124</v>
      </c>
      <c r="F15" s="708" t="s">
        <v>737</v>
      </c>
      <c r="G15" s="1647" t="s">
        <v>585</v>
      </c>
      <c r="H15" s="558"/>
      <c r="I15" s="558"/>
      <c r="J15" s="290" t="s">
        <v>738</v>
      </c>
      <c r="K15" s="544" t="s">
        <v>663</v>
      </c>
      <c r="AF15" s="1632">
        <v>19</v>
      </c>
    </row>
    <row customHeight="1" ht="35.699999999999996">
      <c r="D16" s="1639"/>
      <c r="E16" s="1631" t="s">
        <v>107</v>
      </c>
      <c r="F16" s="708" t="s">
        <v>739</v>
      </c>
      <c r="G16" s="1647" t="s">
        <v>585</v>
      </c>
      <c r="H16" s="559">
        <f>SUM(H17,H20:H32)</f>
        <v>0</v>
      </c>
      <c r="I16" s="559">
        <f>SUM(I17,I20,I23,I26,I29:I32)</f>
        <v>0</v>
      </c>
      <c r="J16" s="290" t="s">
        <v>740</v>
      </c>
      <c r="K16" s="544" t="s">
        <v>663</v>
      </c>
      <c r="AF16" s="1632">
        <v>34</v>
      </c>
    </row>
    <row customHeight="1" ht="19.95">
      <c r="D17" s="1639"/>
      <c r="E17" s="1665" t="s">
        <v>741</v>
      </c>
      <c r="F17" s="955" t="s">
        <v>742</v>
      </c>
      <c r="G17" s="1644" t="s">
        <v>585</v>
      </c>
      <c r="H17" s="558"/>
      <c r="I17" s="558"/>
      <c r="J17" s="290" t="s">
        <v>743</v>
      </c>
      <c r="K17" s="544"/>
      <c r="AF17" s="1632">
        <v>19</v>
      </c>
    </row>
    <row customHeight="1" ht="24">
      <c r="D18" s="1639"/>
      <c r="E18" s="1665" t="s">
        <v>744</v>
      </c>
      <c r="F18" s="1651" t="s">
        <v>745</v>
      </c>
      <c r="G18" s="1644" t="s">
        <v>585</v>
      </c>
      <c r="H18" s="558"/>
      <c r="I18" s="558"/>
      <c r="J18" s="290" t="s">
        <v>746</v>
      </c>
      <c r="K18" s="544"/>
      <c r="AF18" s="1632">
        <v>23</v>
      </c>
    </row>
    <row customHeight="1" ht="35.699999999999996">
      <c r="D19" s="1639"/>
      <c r="E19" s="1665" t="s">
        <v>747</v>
      </c>
      <c r="F19" s="1651" t="s">
        <v>748</v>
      </c>
      <c r="G19" s="1644" t="s">
        <v>585</v>
      </c>
      <c r="H19" s="558"/>
      <c r="I19" s="558"/>
      <c r="J19" s="290"/>
      <c r="K19" s="544"/>
      <c r="AF19" s="1632">
        <v>34</v>
      </c>
    </row>
    <row customHeight="1" ht="19.95">
      <c r="D20" s="1639"/>
      <c r="E20" s="1665" t="s">
        <v>340</v>
      </c>
      <c r="F20" s="955" t="s">
        <v>749</v>
      </c>
      <c r="G20" s="1644" t="s">
        <v>585</v>
      </c>
      <c r="H20" s="558"/>
      <c r="I20" s="558"/>
      <c r="J20" s="290" t="s">
        <v>750</v>
      </c>
      <c r="K20" s="544"/>
      <c r="AF20" s="1632">
        <v>19</v>
      </c>
    </row>
    <row customHeight="1" ht="19.95">
      <c r="D21" s="1639"/>
      <c r="E21" s="1665" t="s">
        <v>751</v>
      </c>
      <c r="F21" s="1651" t="s">
        <v>752</v>
      </c>
      <c r="G21" s="1644" t="s">
        <v>585</v>
      </c>
      <c r="H21" s="558"/>
      <c r="I21" s="558"/>
      <c r="J21" s="290"/>
      <c r="K21" s="544"/>
      <c r="AF21" s="1632">
        <v>19</v>
      </c>
    </row>
    <row customHeight="1" ht="19.95">
      <c r="D22" s="1639"/>
      <c r="E22" s="1665" t="s">
        <v>753</v>
      </c>
      <c r="F22" s="1651" t="s">
        <v>754</v>
      </c>
      <c r="G22" s="1644" t="s">
        <v>585</v>
      </c>
      <c r="H22" s="558"/>
      <c r="I22" s="558"/>
      <c r="J22" s="290"/>
      <c r="K22" s="544"/>
      <c r="AF22" s="1632">
        <v>19</v>
      </c>
    </row>
    <row customHeight="1" ht="24">
      <c r="D23" s="1639"/>
      <c r="E23" s="1665" t="s">
        <v>343</v>
      </c>
      <c r="F23" s="955" t="s">
        <v>755</v>
      </c>
      <c r="G23" s="1644" t="s">
        <v>585</v>
      </c>
      <c r="H23" s="558"/>
      <c r="I23" s="558"/>
      <c r="J23" s="290" t="s">
        <v>756</v>
      </c>
      <c r="K23" s="544"/>
      <c r="AF23" s="1632">
        <v>23</v>
      </c>
    </row>
    <row customHeight="1" ht="19.95">
      <c r="D24" s="1639"/>
      <c r="E24" s="1665" t="s">
        <v>757</v>
      </c>
      <c r="F24" s="1651" t="s">
        <v>758</v>
      </c>
      <c r="G24" s="1644" t="s">
        <v>585</v>
      </c>
      <c r="H24" s="558"/>
      <c r="I24" s="558"/>
      <c r="J24" s="290"/>
      <c r="K24" s="544"/>
      <c r="AF24" s="1632">
        <v>19</v>
      </c>
    </row>
    <row customHeight="1" ht="35.699999999999996">
      <c r="D25" s="1639"/>
      <c r="E25" s="1665" t="s">
        <v>759</v>
      </c>
      <c r="F25" s="1651" t="s">
        <v>760</v>
      </c>
      <c r="G25" s="1644" t="s">
        <v>585</v>
      </c>
      <c r="H25" s="558"/>
      <c r="I25" s="558"/>
      <c r="J25" s="290"/>
      <c r="K25" s="544"/>
      <c r="AF25" s="1632">
        <v>34</v>
      </c>
    </row>
    <row customHeight="1" ht="24">
      <c r="D26" s="1639"/>
      <c r="E26" s="1665" t="s">
        <v>761</v>
      </c>
      <c r="F26" s="955" t="s">
        <v>762</v>
      </c>
      <c r="G26" s="1644" t="s">
        <v>585</v>
      </c>
      <c r="H26" s="558"/>
      <c r="I26" s="558"/>
      <c r="J26" s="290" t="s">
        <v>763</v>
      </c>
      <c r="K26" s="544"/>
      <c r="AF26" s="1632">
        <v>23</v>
      </c>
    </row>
    <row customHeight="1" ht="19.95">
      <c r="D27" s="1639"/>
      <c r="E27" s="1676" t="s">
        <v>764</v>
      </c>
      <c r="F27" s="1651" t="s">
        <v>765</v>
      </c>
      <c r="G27" s="1655" t="s">
        <v>585</v>
      </c>
      <c r="H27" s="1677"/>
      <c r="I27" s="1677"/>
      <c r="J27" s="290"/>
      <c r="K27" s="544"/>
      <c r="AF27" s="1632">
        <v>19</v>
      </c>
    </row>
    <row customHeight="1" ht="19.95">
      <c r="D28" s="1639"/>
      <c r="E28" s="1676" t="s">
        <v>766</v>
      </c>
      <c r="F28" s="1651" t="s">
        <v>767</v>
      </c>
      <c r="G28" s="1655" t="s">
        <v>585</v>
      </c>
      <c r="H28" s="1677"/>
      <c r="I28" s="1677"/>
      <c r="J28" s="290"/>
      <c r="K28" s="544"/>
      <c r="AF28" s="1632">
        <v>19</v>
      </c>
    </row>
    <row customHeight="1" ht="19.95">
      <c r="D29" s="1639"/>
      <c r="E29" s="1676" t="s">
        <v>768</v>
      </c>
      <c r="F29" s="955" t="s">
        <v>769</v>
      </c>
      <c r="G29" s="1655" t="s">
        <v>585</v>
      </c>
      <c r="H29" s="1677"/>
      <c r="I29" s="1677"/>
      <c r="J29" s="290"/>
      <c r="K29" s="544"/>
      <c r="AF29" s="1632">
        <v>19</v>
      </c>
    </row>
    <row customHeight="1" ht="19.95">
      <c r="D30" s="1639"/>
      <c r="E30" s="1676" t="s">
        <v>770</v>
      </c>
      <c r="F30" s="955" t="s">
        <v>771</v>
      </c>
      <c r="G30" s="1655" t="s">
        <v>585</v>
      </c>
      <c r="H30" s="1677"/>
      <c r="I30" s="1677"/>
      <c r="J30" s="290"/>
      <c r="K30" s="544"/>
      <c r="AF30" s="1632">
        <v>19</v>
      </c>
    </row>
    <row customHeight="1" ht="19.95">
      <c r="D31" s="1639"/>
      <c r="E31" s="1676" t="s">
        <v>772</v>
      </c>
      <c r="F31" s="955" t="s">
        <v>773</v>
      </c>
      <c r="G31" s="1655" t="s">
        <v>585</v>
      </c>
      <c r="H31" s="1677"/>
      <c r="I31" s="1677"/>
      <c r="J31" s="290"/>
      <c r="K31" s="544"/>
      <c r="AF31" s="1632">
        <v>19</v>
      </c>
    </row>
    <row s="1367" customFormat="1" customHeight="1" ht="35.699999999999996">
      <c r="A32" s="988"/>
      <c r="C32" s="1637"/>
      <c r="D32" s="1639"/>
      <c r="E32" s="1676" t="s">
        <v>774</v>
      </c>
      <c r="F32" s="955" t="s">
        <v>775</v>
      </c>
      <c r="G32" s="1645" t="s">
        <v>585</v>
      </c>
      <c r="H32" s="580">
        <f>SUM(H33:H34)</f>
        <v>0</v>
      </c>
      <c r="I32" s="580">
        <f>SUM(I33:I34)</f>
        <v>0</v>
      </c>
      <c r="J32" s="290" t="s">
        <v>776</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610</v>
      </c>
      <c r="G34" s="573"/>
      <c r="H34" s="574"/>
      <c r="I34" s="574"/>
      <c r="J34" s="302" t="s">
        <v>777</v>
      </c>
      <c r="K34" s="544"/>
      <c r="L34" s="1637"/>
      <c r="M34" s="1637"/>
      <c r="R34" s="1637"/>
      <c r="U34" s="545"/>
      <c r="AA34" s="1633"/>
      <c r="AB34" s="1633"/>
      <c r="AC34" s="1633"/>
      <c r="AD34" s="1633"/>
      <c r="AE34" s="1633"/>
      <c r="AF34" s="1161">
        <v>19</v>
      </c>
    </row>
    <row customHeight="1" ht="60">
      <c r="D35" s="1639"/>
      <c r="E35" s="1676" t="s">
        <v>778</v>
      </c>
      <c r="F35" s="955" t="s">
        <v>779</v>
      </c>
      <c r="G35" s="1655" t="s">
        <v>585</v>
      </c>
      <c r="H35" s="1677"/>
      <c r="I35" s="1677"/>
      <c r="J35" s="290" t="s">
        <v>780</v>
      </c>
      <c r="K35" s="544"/>
      <c r="AF35" s="1632">
        <v>57</v>
      </c>
    </row>
    <row s="1367" customFormat="1" customHeight="1" ht="24">
      <c r="A36" s="990" t="s">
        <v>611</v>
      </c>
      <c r="C36" s="1637"/>
      <c r="D36" s="1639"/>
      <c r="E36" s="1665" t="s">
        <v>93</v>
      </c>
      <c r="F36" s="708" t="s">
        <v>781</v>
      </c>
      <c r="G36" s="1644" t="s">
        <v>585</v>
      </c>
      <c r="H36" s="558"/>
      <c r="I36" s="558"/>
      <c r="J36" s="290" t="s">
        <v>782</v>
      </c>
      <c r="K36" s="544"/>
      <c r="L36" s="1637"/>
      <c r="M36" s="1637"/>
      <c r="R36" s="1637"/>
      <c r="U36" s="545"/>
      <c r="AA36" s="1633"/>
      <c r="AB36" s="1633"/>
      <c r="AC36" s="1633"/>
      <c r="AD36" s="1633"/>
      <c r="AE36" s="1633"/>
      <c r="AF36" s="1161">
        <v>23</v>
      </c>
    </row>
    <row s="1367" customFormat="1" customHeight="1" ht="35.699999999999996">
      <c r="A37" s="990"/>
      <c r="C37" s="1637"/>
      <c r="D37" s="1639"/>
      <c r="E37" s="1665" t="s">
        <v>357</v>
      </c>
      <c r="F37" s="955" t="s">
        <v>783</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94</v>
      </c>
      <c r="F38" s="708" t="s">
        <v>784</v>
      </c>
      <c r="G38" s="1644" t="s">
        <v>585</v>
      </c>
      <c r="H38" s="558"/>
      <c r="I38" s="558"/>
      <c r="J38" s="290" t="s">
        <v>785</v>
      </c>
      <c r="K38" s="544"/>
      <c r="L38" s="1637"/>
      <c r="M38" s="1637"/>
      <c r="R38" s="1637"/>
      <c r="U38" s="545"/>
      <c r="AA38" s="1633"/>
      <c r="AB38" s="1633"/>
      <c r="AC38" s="1633"/>
      <c r="AD38" s="1633"/>
      <c r="AE38" s="1633"/>
      <c r="AF38" s="1161">
        <v>19</v>
      </c>
    </row>
    <row s="1367" customFormat="1" customHeight="1" ht="24">
      <c r="A39" s="988"/>
      <c r="C39" s="1637"/>
      <c r="D39" s="576"/>
      <c r="E39" s="1665" t="s">
        <v>786</v>
      </c>
      <c r="F39" s="955" t="s">
        <v>787</v>
      </c>
      <c r="G39" s="1655" t="s">
        <v>585</v>
      </c>
      <c r="H39" s="558"/>
      <c r="I39" s="558"/>
      <c r="J39" s="290" t="s">
        <v>788</v>
      </c>
      <c r="K39" s="544"/>
      <c r="L39" s="1637"/>
      <c r="M39" s="1637"/>
      <c r="R39" s="1637"/>
      <c r="U39" s="545"/>
      <c r="AA39" s="1633"/>
      <c r="AB39" s="1633"/>
      <c r="AC39" s="1633"/>
      <c r="AD39" s="1633"/>
      <c r="AE39" s="1633"/>
      <c r="AF39" s="1161">
        <v>23</v>
      </c>
    </row>
    <row s="1367" customFormat="1" customHeight="1" ht="24">
      <c r="A40" s="988"/>
      <c r="C40" s="1637"/>
      <c r="D40" s="1639"/>
      <c r="E40" s="1665" t="s">
        <v>789</v>
      </c>
      <c r="F40" s="1651" t="s">
        <v>790</v>
      </c>
      <c r="G40" s="1644" t="s">
        <v>585</v>
      </c>
      <c r="H40" s="558"/>
      <c r="I40" s="558"/>
      <c r="J40" s="290" t="s">
        <v>791</v>
      </c>
      <c r="K40" s="544"/>
      <c r="L40" s="1637"/>
      <c r="M40" s="1637"/>
      <c r="R40" s="1637"/>
      <c r="U40" s="545"/>
      <c r="AA40" s="1633"/>
      <c r="AB40" s="1633"/>
      <c r="AC40" s="1633"/>
      <c r="AD40" s="1633"/>
      <c r="AE40" s="1633"/>
      <c r="AF40" s="1161">
        <v>23</v>
      </c>
    </row>
    <row s="1367" customFormat="1" customHeight="1" ht="24">
      <c r="A41" s="988"/>
      <c r="C41" s="1637"/>
      <c r="D41" s="1639"/>
      <c r="E41" s="1665" t="s">
        <v>792</v>
      </c>
      <c r="F41" s="1651" t="s">
        <v>793</v>
      </c>
      <c r="G41" s="1644" t="s">
        <v>585</v>
      </c>
      <c r="H41" s="558"/>
      <c r="I41" s="558"/>
      <c r="J41" s="290" t="s">
        <v>794</v>
      </c>
      <c r="K41" s="544"/>
      <c r="L41" s="1637"/>
      <c r="M41" s="1637"/>
      <c r="R41" s="1637"/>
      <c r="U41" s="545"/>
      <c r="AA41" s="1633"/>
      <c r="AB41" s="1633"/>
      <c r="AC41" s="1633"/>
      <c r="AD41" s="1633"/>
      <c r="AE41" s="1633"/>
      <c r="AF41" s="1161">
        <v>23</v>
      </c>
    </row>
    <row s="1367" customFormat="1" customHeight="1" ht="24">
      <c r="A42" s="988"/>
      <c r="C42" s="1637"/>
      <c r="D42" s="1639"/>
      <c r="E42" s="1665" t="s">
        <v>795</v>
      </c>
      <c r="F42" s="1651" t="s">
        <v>796</v>
      </c>
      <c r="G42" s="1644" t="s">
        <v>585</v>
      </c>
      <c r="H42" s="558"/>
      <c r="I42" s="558"/>
      <c r="J42" s="290" t="s">
        <v>797</v>
      </c>
      <c r="K42" s="544"/>
      <c r="L42" s="1637"/>
      <c r="M42" s="1637"/>
      <c r="R42" s="1637"/>
      <c r="U42" s="545"/>
      <c r="AA42" s="1633"/>
      <c r="AB42" s="1633"/>
      <c r="AC42" s="1633"/>
      <c r="AD42" s="1633"/>
      <c r="AE42" s="1633"/>
      <c r="AF42" s="1161">
        <v>23</v>
      </c>
    </row>
    <row s="1367" customFormat="1" customHeight="1" ht="35.699999999999996">
      <c r="A43" s="988"/>
      <c r="C43" s="1637" t="s">
        <v>621</v>
      </c>
      <c r="D43" s="1639"/>
      <c r="E43" s="1665" t="s">
        <v>125</v>
      </c>
      <c r="F43" s="708" t="s">
        <v>662</v>
      </c>
      <c r="G43" s="1647" t="s">
        <v>798</v>
      </c>
      <c r="H43" s="402"/>
      <c r="I43" s="402"/>
      <c r="J43" s="290" t="s">
        <v>799</v>
      </c>
      <c r="K43" s="544"/>
      <c r="L43" s="1637"/>
      <c r="M43" s="1637"/>
      <c r="R43" s="1637"/>
      <c r="U43" s="545"/>
      <c r="AA43" s="1633"/>
      <c r="AB43" s="1633"/>
      <c r="AC43" s="1633"/>
      <c r="AD43" s="1633"/>
      <c r="AE43" s="1633"/>
      <c r="AF43" s="1161">
        <v>34</v>
      </c>
    </row>
    <row s="1367" customFormat="1" customHeight="1" ht="35.699999999999996">
      <c r="A44" s="988"/>
      <c r="C44" s="1637"/>
      <c r="D44" s="1639"/>
      <c r="E44" s="1665" t="s">
        <v>95</v>
      </c>
      <c r="F44" s="708" t="s">
        <v>800</v>
      </c>
      <c r="G44" s="1644" t="s">
        <v>801</v>
      </c>
      <c r="H44" s="546"/>
      <c r="I44" s="546"/>
      <c r="J44" s="290" t="s">
        <v>802</v>
      </c>
      <c r="K44" s="544"/>
      <c r="L44" s="1637"/>
      <c r="M44" s="1637"/>
      <c r="R44" s="1637"/>
      <c r="U44" s="545"/>
      <c r="AA44" s="1633"/>
      <c r="AB44" s="1633"/>
      <c r="AC44" s="1633"/>
      <c r="AD44" s="1633"/>
      <c r="AE44" s="1633"/>
      <c r="AF44" s="1161">
        <v>34</v>
      </c>
    </row>
    <row s="1367" customFormat="1" customHeight="1" ht="24">
      <c r="A45" s="988"/>
      <c r="C45" s="1637"/>
      <c r="D45" s="1639"/>
      <c r="E45" s="1665" t="s">
        <v>96</v>
      </c>
      <c r="F45" s="708" t="s">
        <v>803</v>
      </c>
      <c r="G45" s="1655" t="s">
        <v>804</v>
      </c>
      <c r="H45" s="546"/>
      <c r="I45" s="546"/>
      <c r="J45" s="290" t="s">
        <v>805</v>
      </c>
      <c r="K45" s="544"/>
      <c r="L45" s="1637"/>
      <c r="M45" s="1637"/>
      <c r="R45" s="1637"/>
      <c r="U45" s="545"/>
      <c r="AA45" s="1633"/>
      <c r="AB45" s="1633"/>
      <c r="AC45" s="1633"/>
      <c r="AD45" s="1633"/>
      <c r="AE45" s="1633"/>
      <c r="AF45" s="1161">
        <v>23</v>
      </c>
    </row>
    <row s="1367" customFormat="1" customHeight="1" ht="19.95">
      <c r="A46" s="988"/>
      <c r="C46" s="1637"/>
      <c r="D46" s="1639"/>
      <c r="E46" s="1665" t="s">
        <v>126</v>
      </c>
      <c r="F46" s="708" t="s">
        <v>806</v>
      </c>
      <c r="G46" s="1644" t="s">
        <v>623</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85</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450215-E458-5CF8-B575-19C1403E72A8}"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585</v>
      </c>
      <c r="H2" s="542"/>
      <c r="I2" s="542"/>
      <c r="J2" s="543" t="s">
        <v>588</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807</v>
      </c>
      <c r="F6" s="2249"/>
      <c r="G6" s="2249"/>
      <c r="H6" s="2249"/>
      <c r="I6" s="2249"/>
      <c r="J6" s="557"/>
      <c r="AF6" s="1632">
        <v>32</v>
      </c>
    </row>
    <row customHeight="1" ht="25.2">
      <c r="E7" s="2250" t="str">
        <f>IF(org=0,"Не определено",org)</f>
        <v>КГУП "Примтеплоэнерго"</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131</v>
      </c>
      <c r="AF9" s="1637">
        <v>1</v>
      </c>
    </row>
    <row customHeight="1" ht="11.549999999999999">
      <c r="E10" s="712"/>
      <c r="F10" s="2368" t="s">
        <v>120</v>
      </c>
      <c r="G10" s="2369"/>
      <c r="H10" s="1660" t="str">
        <f>IF(H9="","",INDEX(DIFFERENTIATION_UNMERGE_VD,MATCH(H9,DIFFERENTIATION_ID_DIFF,0)))</f>
        <v/>
      </c>
      <c r="I10" s="1660">
        <f>IF(I9="","",INDEX(DIFFERENTIATION_UNMERGE_VD,MATCH(I9,DIFFERENTIATION_ID_DIFF,0)))</f>
        <v>0</v>
      </c>
      <c r="J10" s="2128"/>
      <c r="AF10" s="1632">
        <v>11</v>
      </c>
    </row>
    <row customHeight="1" ht="11.549999999999999">
      <c r="E11" s="712"/>
      <c r="F11" s="2368" t="s">
        <v>597</v>
      </c>
      <c r="G11" s="2369"/>
      <c r="H11" s="1660" t="str">
        <f>IF(H9="","",INDEX(DIFFERENTIATION_UNMERGE_AREA,MATCH(H9,DIFFERENTIATION_ID_DIFF,0)))</f>
        <v/>
      </c>
      <c r="I11" s="1660" t="str">
        <f>IF(I9="","",INDEX(DIFFERENTIATION_UNMERGE_AREA,MATCH(I9,DIFFERENTIATION_ID_DIFF,0)))</f>
        <v/>
      </c>
      <c r="J11" s="2128"/>
      <c r="AF11" s="1632">
        <v>11</v>
      </c>
    </row>
    <row customHeight="1" ht="11.25" hidden="1">
      <c r="E12" s="1663"/>
      <c r="F12" s="2391" t="s">
        <v>598</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549999999999999">
      <c r="E13" s="2370" t="s">
        <v>333</v>
      </c>
      <c r="F13" s="2371"/>
      <c r="G13" s="2371"/>
      <c r="H13" s="1657"/>
      <c r="I13" s="1657"/>
      <c r="J13" s="2128"/>
      <c r="AF13" s="1632">
        <v>11</v>
      </c>
    </row>
    <row customHeight="1" ht="24">
      <c r="E14" s="1658" t="s">
        <v>91</v>
      </c>
      <c r="F14" s="1661" t="s">
        <v>335</v>
      </c>
      <c r="G14" s="1661" t="s">
        <v>599</v>
      </c>
      <c r="H14" s="1661" t="s">
        <v>336</v>
      </c>
      <c r="I14" s="1661" t="s">
        <v>336</v>
      </c>
      <c r="J14" s="2128"/>
      <c r="AF14" s="1632">
        <v>23</v>
      </c>
    </row>
    <row customHeight="1" ht="19.95">
      <c r="D15" s="1639"/>
      <c r="E15" s="1631" t="s">
        <v>124</v>
      </c>
      <c r="F15" s="708" t="s">
        <v>808</v>
      </c>
      <c r="G15" s="1658" t="s">
        <v>585</v>
      </c>
      <c r="H15" s="558"/>
      <c r="I15" s="558"/>
      <c r="J15" s="290" t="s">
        <v>809</v>
      </c>
      <c r="K15" s="544" t="s">
        <v>663</v>
      </c>
      <c r="AF15" s="1632">
        <v>19</v>
      </c>
    </row>
    <row customHeight="1" ht="24">
      <c r="D16" s="1639"/>
      <c r="E16" s="1631" t="s">
        <v>107</v>
      </c>
      <c r="F16" s="1666" t="s">
        <v>810</v>
      </c>
      <c r="G16" s="1658" t="s">
        <v>585</v>
      </c>
      <c r="H16" s="559">
        <f>SUM(H17,H20:H27)</f>
        <v>0</v>
      </c>
      <c r="I16" s="559">
        <f>SUM(I17,I20:I27)</f>
        <v>0</v>
      </c>
      <c r="J16" s="290" t="s">
        <v>811</v>
      </c>
      <c r="K16" s="544" t="s">
        <v>663</v>
      </c>
      <c r="AF16" s="1632">
        <v>23</v>
      </c>
    </row>
    <row customHeight="1" ht="35.699999999999996">
      <c r="D17" s="1639"/>
      <c r="E17" s="1665" t="s">
        <v>741</v>
      </c>
      <c r="F17" s="1668" t="s">
        <v>812</v>
      </c>
      <c r="G17" s="1655" t="s">
        <v>585</v>
      </c>
      <c r="H17" s="558"/>
      <c r="I17" s="558"/>
      <c r="J17" s="290" t="s">
        <v>813</v>
      </c>
      <c r="K17" s="544"/>
      <c r="AF17" s="1632">
        <v>34</v>
      </c>
    </row>
    <row customHeight="1" ht="19.95">
      <c r="D18" s="1639"/>
      <c r="E18" s="1665" t="s">
        <v>744</v>
      </c>
      <c r="F18" s="1669" t="s">
        <v>814</v>
      </c>
      <c r="G18" s="1655" t="s">
        <v>585</v>
      </c>
      <c r="H18" s="558"/>
      <c r="I18" s="558"/>
      <c r="J18" s="290"/>
      <c r="K18" s="544"/>
      <c r="AF18" s="1632">
        <v>19</v>
      </c>
    </row>
    <row customHeight="1" ht="24">
      <c r="D19" s="1639"/>
      <c r="E19" s="1665" t="s">
        <v>747</v>
      </c>
      <c r="F19" s="1669" t="s">
        <v>815</v>
      </c>
      <c r="G19" s="1655" t="s">
        <v>585</v>
      </c>
      <c r="H19" s="558"/>
      <c r="I19" s="558"/>
      <c r="J19" s="290"/>
      <c r="K19" s="544"/>
      <c r="AF19" s="1632">
        <v>23</v>
      </c>
    </row>
    <row customHeight="1" ht="35.699999999999996">
      <c r="D20" s="1639"/>
      <c r="E20" s="1665" t="s">
        <v>340</v>
      </c>
      <c r="F20" s="1668" t="s">
        <v>816</v>
      </c>
      <c r="G20" s="1655" t="s">
        <v>585</v>
      </c>
      <c r="H20" s="558"/>
      <c r="I20" s="558"/>
      <c r="J20" s="290"/>
      <c r="K20" s="544"/>
      <c r="AF20" s="1632">
        <v>34</v>
      </c>
    </row>
    <row customHeight="1" ht="48.29999999999999">
      <c r="D21" s="1639"/>
      <c r="E21" s="1665" t="s">
        <v>343</v>
      </c>
      <c r="F21" s="1668" t="s">
        <v>817</v>
      </c>
      <c r="G21" s="1655" t="s">
        <v>585</v>
      </c>
      <c r="H21" s="558"/>
      <c r="I21" s="558"/>
      <c r="J21" s="290"/>
      <c r="K21" s="544"/>
      <c r="AF21" s="1632">
        <v>46</v>
      </c>
    </row>
    <row customHeight="1" ht="60">
      <c r="D22" s="1639"/>
      <c r="E22" s="1665" t="s">
        <v>761</v>
      </c>
      <c r="F22" s="1668" t="s">
        <v>818</v>
      </c>
      <c r="G22" s="1655" t="s">
        <v>585</v>
      </c>
      <c r="H22" s="558"/>
      <c r="I22" s="558"/>
      <c r="J22" s="290"/>
      <c r="K22" s="544"/>
      <c r="AF22" s="1632">
        <v>57</v>
      </c>
    </row>
    <row customHeight="1" ht="35.699999999999996">
      <c r="D23" s="1639"/>
      <c r="E23" s="1665" t="s">
        <v>768</v>
      </c>
      <c r="F23" s="1668" t="s">
        <v>819</v>
      </c>
      <c r="G23" s="1655" t="s">
        <v>585</v>
      </c>
      <c r="H23" s="558"/>
      <c r="I23" s="558"/>
      <c r="J23" s="290"/>
      <c r="K23" s="544"/>
      <c r="AF23" s="1632">
        <v>34</v>
      </c>
    </row>
    <row customHeight="1" ht="35.699999999999996">
      <c r="D24" s="1639"/>
      <c r="E24" s="1665" t="s">
        <v>770</v>
      </c>
      <c r="F24" s="1668" t="s">
        <v>820</v>
      </c>
      <c r="G24" s="1655" t="s">
        <v>585</v>
      </c>
      <c r="H24" s="558"/>
      <c r="I24" s="558"/>
      <c r="J24" s="290"/>
      <c r="K24" s="544"/>
      <c r="AF24" s="1632">
        <v>34</v>
      </c>
    </row>
    <row customHeight="1" ht="24">
      <c r="D25" s="1639"/>
      <c r="E25" s="1665" t="s">
        <v>772</v>
      </c>
      <c r="F25" s="1668" t="s">
        <v>821</v>
      </c>
      <c r="G25" s="1655" t="s">
        <v>585</v>
      </c>
      <c r="H25" s="558"/>
      <c r="I25" s="558"/>
      <c r="J25" s="290"/>
      <c r="K25" s="544"/>
      <c r="AF25" s="1632">
        <v>23</v>
      </c>
    </row>
    <row customHeight="1" ht="76.5">
      <c r="D26" s="1639"/>
      <c r="E26" s="1665" t="s">
        <v>774</v>
      </c>
      <c r="F26" s="1668" t="s">
        <v>822</v>
      </c>
      <c r="G26" s="1655" t="s">
        <v>585</v>
      </c>
      <c r="H26" s="558"/>
      <c r="I26" s="558"/>
      <c r="J26" s="290"/>
      <c r="K26" s="544"/>
      <c r="AF26" s="1632">
        <v>73</v>
      </c>
    </row>
    <row s="1367" customFormat="1" customHeight="1" ht="35.699999999999996">
      <c r="A27" s="988"/>
      <c r="C27" s="1637"/>
      <c r="D27" s="1639"/>
      <c r="E27" s="1630" t="s">
        <v>778</v>
      </c>
      <c r="F27" s="1629" t="s">
        <v>823</v>
      </c>
      <c r="G27" s="1656" t="s">
        <v>585</v>
      </c>
      <c r="H27" s="580">
        <f>SUM(H28:H29)</f>
        <v>0</v>
      </c>
      <c r="I27" s="580">
        <f>SUM(I28:I29)</f>
        <v>0</v>
      </c>
      <c r="J27" s="290" t="s">
        <v>776</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610</v>
      </c>
      <c r="G29" s="573"/>
      <c r="H29" s="574"/>
      <c r="I29" s="574"/>
      <c r="J29" s="302" t="s">
        <v>777</v>
      </c>
      <c r="K29" s="544"/>
      <c r="L29" s="1637"/>
      <c r="M29" s="1637"/>
      <c r="R29" s="1637"/>
      <c r="U29" s="545"/>
      <c r="AA29" s="1633"/>
      <c r="AB29" s="1633"/>
      <c r="AC29" s="1633"/>
      <c r="AD29" s="1633"/>
      <c r="AE29" s="1633"/>
      <c r="AF29" s="1161">
        <v>19</v>
      </c>
    </row>
    <row s="1367" customFormat="1" customHeight="1" ht="24">
      <c r="A30" s="988"/>
      <c r="C30" s="1637"/>
      <c r="D30" s="1639"/>
      <c r="E30" s="1665" t="s">
        <v>93</v>
      </c>
      <c r="F30" s="1662" t="s">
        <v>824</v>
      </c>
      <c r="G30" s="1655" t="s">
        <v>585</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94</v>
      </c>
      <c r="F31" s="1662" t="s">
        <v>825</v>
      </c>
      <c r="G31" s="1655" t="s">
        <v>585</v>
      </c>
      <c r="H31" s="558"/>
      <c r="I31" s="558"/>
      <c r="J31" s="290" t="s">
        <v>826</v>
      </c>
      <c r="K31" s="544"/>
      <c r="L31" s="1637"/>
      <c r="M31" s="1637"/>
      <c r="R31" s="1637"/>
      <c r="U31" s="545"/>
      <c r="AA31" s="1633"/>
      <c r="AB31" s="1633"/>
      <c r="AC31" s="1633"/>
      <c r="AD31" s="1633"/>
      <c r="AE31" s="1633"/>
      <c r="AF31" s="1161">
        <v>34</v>
      </c>
    </row>
    <row s="1367" customFormat="1" customHeight="1" ht="24">
      <c r="A32" s="988"/>
      <c r="C32" s="1637"/>
      <c r="D32" s="1639"/>
      <c r="E32" s="1665" t="s">
        <v>786</v>
      </c>
      <c r="F32" s="691" t="s">
        <v>790</v>
      </c>
      <c r="G32" s="1655" t="s">
        <v>585</v>
      </c>
      <c r="H32" s="558"/>
      <c r="I32" s="558"/>
      <c r="J32" s="290" t="s">
        <v>827</v>
      </c>
      <c r="K32" s="544"/>
      <c r="L32" s="1637"/>
      <c r="M32" s="1637"/>
      <c r="R32" s="1637"/>
      <c r="U32" s="545"/>
      <c r="AA32" s="1633"/>
      <c r="AB32" s="1633"/>
      <c r="AC32" s="1633"/>
      <c r="AD32" s="1633"/>
      <c r="AE32" s="1633"/>
      <c r="AF32" s="1161">
        <v>23</v>
      </c>
    </row>
    <row s="1367" customFormat="1" customHeight="1" ht="24">
      <c r="A33" s="988"/>
      <c r="C33" s="1637"/>
      <c r="D33" s="1639"/>
      <c r="E33" s="1665" t="s">
        <v>828</v>
      </c>
      <c r="F33" s="691" t="s">
        <v>829</v>
      </c>
      <c r="G33" s="1655" t="s">
        <v>585</v>
      </c>
      <c r="H33" s="558"/>
      <c r="I33" s="558"/>
      <c r="J33" s="290" t="s">
        <v>830</v>
      </c>
      <c r="K33" s="544"/>
      <c r="L33" s="1637"/>
      <c r="M33" s="1637"/>
      <c r="R33" s="1637"/>
      <c r="U33" s="545"/>
      <c r="AA33" s="1633"/>
      <c r="AB33" s="1633"/>
      <c r="AC33" s="1633"/>
      <c r="AD33" s="1633"/>
      <c r="AE33" s="1633"/>
      <c r="AF33" s="1161">
        <v>23</v>
      </c>
    </row>
    <row s="1367" customFormat="1" customHeight="1" ht="24">
      <c r="A34" s="988"/>
      <c r="C34" s="1637"/>
      <c r="D34" s="1639"/>
      <c r="E34" s="1665" t="s">
        <v>831</v>
      </c>
      <c r="F34" s="691" t="s">
        <v>796</v>
      </c>
      <c r="G34" s="1655" t="s">
        <v>585</v>
      </c>
      <c r="H34" s="558"/>
      <c r="I34" s="558"/>
      <c r="J34" s="290" t="s">
        <v>832</v>
      </c>
      <c r="K34" s="544"/>
      <c r="L34" s="1637"/>
      <c r="M34" s="1637"/>
      <c r="R34" s="1637"/>
      <c r="U34" s="545"/>
      <c r="AA34" s="1633"/>
      <c r="AB34" s="1633"/>
      <c r="AC34" s="1633"/>
      <c r="AD34" s="1633"/>
      <c r="AE34" s="1633"/>
      <c r="AF34" s="1161">
        <v>23</v>
      </c>
    </row>
    <row s="1367" customFormat="1" customHeight="1" ht="35.699999999999996">
      <c r="A35" s="988"/>
      <c r="C35" s="1637" t="s">
        <v>621</v>
      </c>
      <c r="D35" s="1639"/>
      <c r="E35" s="1665" t="s">
        <v>125</v>
      </c>
      <c r="F35" s="1662" t="s">
        <v>662</v>
      </c>
      <c r="G35" s="1658" t="s">
        <v>339</v>
      </c>
      <c r="H35" s="402"/>
      <c r="I35" s="402"/>
      <c r="J35" s="290" t="s">
        <v>833</v>
      </c>
      <c r="K35" s="544"/>
      <c r="L35" s="1637"/>
      <c r="M35" s="1637"/>
      <c r="R35" s="1637"/>
      <c r="U35" s="545"/>
      <c r="AA35" s="1633"/>
      <c r="AB35" s="1633"/>
      <c r="AC35" s="1633"/>
      <c r="AD35" s="1633"/>
      <c r="AE35" s="1633"/>
      <c r="AF35" s="1161">
        <v>34</v>
      </c>
    </row>
    <row s="1367" customFormat="1" customHeight="1" ht="35.699999999999996">
      <c r="A36" s="988"/>
      <c r="C36" s="1637"/>
      <c r="D36" s="1639"/>
      <c r="E36" s="1665" t="s">
        <v>95</v>
      </c>
      <c r="F36" s="1662" t="s">
        <v>834</v>
      </c>
      <c r="G36" s="1655" t="s">
        <v>801</v>
      </c>
      <c r="H36" s="546"/>
      <c r="I36" s="546"/>
      <c r="J36" s="290" t="s">
        <v>802</v>
      </c>
      <c r="K36" s="544"/>
      <c r="L36" s="1637"/>
      <c r="M36" s="1637"/>
      <c r="R36" s="1637"/>
      <c r="U36" s="545"/>
      <c r="AA36" s="1633"/>
      <c r="AB36" s="1633"/>
      <c r="AC36" s="1633"/>
      <c r="AD36" s="1633"/>
      <c r="AE36" s="1633"/>
      <c r="AF36" s="1161">
        <v>34</v>
      </c>
    </row>
    <row s="1367" customFormat="1" customHeight="1" ht="24">
      <c r="A37" s="988"/>
      <c r="C37" s="1637"/>
      <c r="D37" s="1639"/>
      <c r="E37" s="1665" t="s">
        <v>96</v>
      </c>
      <c r="F37" s="1662" t="s">
        <v>835</v>
      </c>
      <c r="G37" s="1655" t="s">
        <v>804</v>
      </c>
      <c r="H37" s="546"/>
      <c r="I37" s="546"/>
      <c r="J37" s="290" t="s">
        <v>805</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836</v>
      </c>
      <c r="F39" s="2286" t="s">
        <v>837</v>
      </c>
      <c r="G39" s="2286"/>
      <c r="H39" s="370"/>
      <c r="I39" s="370"/>
      <c r="J39" s="370"/>
      <c r="AF39" s="1632">
        <v>26</v>
      </c>
    </row>
    <row s="1642" customFormat="1" customHeight="1" ht="39.75">
      <c r="A40" s="988"/>
      <c r="B40" s="1637"/>
      <c r="C40" s="1637"/>
      <c r="D40" s="352"/>
      <c r="F40" s="2286" t="s">
        <v>838</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85</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6FFA62-8E28-F4D8-0524-D8BA56685C08}"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0"/>
      <c r="F3" s="2241"/>
      <c r="X3" s="506">
        <v>75</v>
      </c>
    </row>
    <row s="1636" customFormat="1" customHeight="1" ht="21">
      <c r="A4" s="952"/>
      <c r="B4" s="512"/>
      <c r="D4" s="2215" t="str">
        <f>IF(org=0,"Не определено",org)</f>
        <v>КГУП "Примтеплоэнерго"</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131</v>
      </c>
      <c r="J6" s="1023"/>
      <c r="X6" s="506">
        <v>1</v>
      </c>
    </row>
    <row customHeight="1" ht="11.549999999999999">
      <c r="D7" s="712"/>
      <c r="E7" s="2368" t="s">
        <v>120</v>
      </c>
      <c r="F7" s="2369"/>
      <c r="G7" s="2394" t="str">
        <f>IF(G6="","",INDEX(DIFFERENTIATION_UNMERGE_VD,MATCH(G6,DIFFERENTIATION_ID_DIFF,0)))</f>
        <v/>
      </c>
      <c r="H7" s="2395"/>
      <c r="I7" s="2394">
        <f>IF(I6="","",INDEX(DIFFERENTIATION_UNMERGE_VD,MATCH(I6,DIFFERENTIATION_ID_DIFF,0)))</f>
        <v>0</v>
      </c>
      <c r="J7" s="2395"/>
      <c r="K7" s="2176"/>
      <c r="L7" s="510"/>
      <c r="X7" s="506">
        <v>11</v>
      </c>
    </row>
    <row customHeight="1" ht="11.549999999999999">
      <c r="A8" s="705"/>
      <c r="D8" s="712"/>
      <c r="E8" s="2368" t="s">
        <v>597</v>
      </c>
      <c r="F8" s="2369"/>
      <c r="G8" s="2394" t="str">
        <f>IF(G6="","",INDEX(DIFFERENTIATION_UNMERGE_AREA,MATCH(G6,DIFFERENTIATION_ID_DIFF,0)))</f>
        <v/>
      </c>
      <c r="H8" s="2395"/>
      <c r="I8" s="2394" t="str">
        <f>IF(I6="","",INDEX(DIFFERENTIATION_UNMERGE_AREA,MATCH(I6,DIFFERENTIATION_ID_DIFF,0)))</f>
        <v/>
      </c>
      <c r="J8" s="2395"/>
      <c r="K8" s="2200"/>
      <c r="L8" s="510"/>
      <c r="X8" s="506">
        <v>11</v>
      </c>
    </row>
    <row customHeight="1" ht="11.549999999999999">
      <c r="A9" s="705"/>
      <c r="D9" s="712"/>
      <c r="E9" s="2368" t="s">
        <v>598</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549999999999999">
      <c r="A10" s="1022"/>
      <c r="B10" s="512"/>
      <c r="D10" s="2102" t="s">
        <v>333</v>
      </c>
      <c r="E10" s="2103"/>
      <c r="F10" s="2103"/>
      <c r="G10" s="2103"/>
      <c r="H10" s="2103"/>
      <c r="I10" s="2103"/>
      <c r="J10" s="2104"/>
      <c r="K10" s="2200"/>
      <c r="L10" s="510"/>
      <c r="X10" s="759">
        <v>11</v>
      </c>
    </row>
    <row s="1636" customFormat="1" customHeight="1" ht="24">
      <c r="A11" s="2386"/>
      <c r="B11" s="2386"/>
      <c r="C11" s="658"/>
      <c r="D11" s="704" t="s">
        <v>91</v>
      </c>
      <c r="E11" s="706" t="s">
        <v>839</v>
      </c>
      <c r="F11" s="706" t="s">
        <v>599</v>
      </c>
      <c r="G11" s="466" t="s">
        <v>336</v>
      </c>
      <c r="H11" s="466" t="s">
        <v>423</v>
      </c>
      <c r="I11" s="808" t="s">
        <v>336</v>
      </c>
      <c r="J11" s="809" t="s">
        <v>423</v>
      </c>
      <c r="K11" s="2233"/>
      <c r="L11" s="659"/>
      <c r="X11" s="510">
        <v>23</v>
      </c>
    </row>
    <row s="1643" customFormat="1" customHeight="1" ht="10.5">
      <c r="A12" s="953"/>
      <c r="D12" s="1026" t="s">
        <v>124</v>
      </c>
      <c r="E12" s="1026" t="s">
        <v>107</v>
      </c>
      <c r="F12" s="1026" t="s">
        <v>93</v>
      </c>
      <c r="G12" s="1027" t="str">
        <f>G1&amp;".1"</f>
        <v>4.1</v>
      </c>
      <c r="H12" s="1027" t="str">
        <f>G1&amp;".2"</f>
        <v>4.2</v>
      </c>
      <c r="I12" s="1027" t="str">
        <f>I1&amp;".1"</f>
        <v>4.1</v>
      </c>
      <c r="J12" s="1027" t="str">
        <f>I1&amp;".2"</f>
        <v>4.2</v>
      </c>
      <c r="K12" s="1027"/>
      <c r="X12" s="512">
        <v>10</v>
      </c>
    </row>
    <row customHeight="1" ht="22.5">
      <c r="A13" s="2393" t="s">
        <v>840</v>
      </c>
      <c r="D13" s="954" t="s">
        <v>124</v>
      </c>
      <c r="E13" s="280" t="s">
        <v>841</v>
      </c>
      <c r="F13" s="661" t="s">
        <v>842</v>
      </c>
      <c r="G13" s="558"/>
      <c r="H13" s="662"/>
      <c r="I13" s="558"/>
      <c r="J13" s="662"/>
      <c r="K13" s="290" t="s">
        <v>843</v>
      </c>
      <c r="L13" s="721"/>
      <c r="X13" s="506">
        <v>0</v>
      </c>
    </row>
    <row customHeight="1" ht="22.5">
      <c r="A14" s="2393"/>
      <c r="D14" s="540" t="s">
        <v>107</v>
      </c>
      <c r="E14" s="280" t="s">
        <v>844</v>
      </c>
      <c r="F14" s="661" t="s">
        <v>845</v>
      </c>
      <c r="G14" s="558"/>
      <c r="H14" s="663"/>
      <c r="I14" s="558"/>
      <c r="J14" s="663"/>
      <c r="K14" s="290" t="s">
        <v>846</v>
      </c>
      <c r="L14" s="721"/>
      <c r="X14" s="506">
        <v>0</v>
      </c>
    </row>
    <row s="1636" customFormat="1" customHeight="1" ht="78.75">
      <c r="A15" s="2393"/>
      <c r="B15" s="512"/>
      <c r="D15" s="954" t="s">
        <v>93</v>
      </c>
      <c r="E15" s="708" t="s">
        <v>847</v>
      </c>
      <c r="F15" s="951" t="s">
        <v>339</v>
      </c>
      <c r="G15" s="951" t="s">
        <v>339</v>
      </c>
      <c r="H15" s="107"/>
      <c r="I15" s="951" t="s">
        <v>339</v>
      </c>
      <c r="J15" s="107"/>
      <c r="K15" s="290" t="s">
        <v>848</v>
      </c>
      <c r="L15" s="721"/>
      <c r="X15" s="759">
        <v>0</v>
      </c>
    </row>
    <row s="1636" customFormat="1" customHeight="1" ht="22.5">
      <c r="A16" s="2393"/>
      <c r="B16" s="512"/>
      <c r="D16" s="954" t="s">
        <v>357</v>
      </c>
      <c r="E16" s="955" t="s">
        <v>849</v>
      </c>
      <c r="F16" s="951" t="s">
        <v>850</v>
      </c>
      <c r="G16" s="818"/>
      <c r="H16" s="107"/>
      <c r="I16" s="818"/>
      <c r="J16" s="107"/>
      <c r="K16" s="290"/>
      <c r="L16" s="721"/>
      <c r="X16" s="759">
        <v>0</v>
      </c>
    </row>
    <row s="1636" customFormat="1" customHeight="1" ht="22.5">
      <c r="A17" s="2393"/>
      <c r="B17" s="512"/>
      <c r="D17" s="954" t="s">
        <v>365</v>
      </c>
      <c r="E17" s="955" t="s">
        <v>851</v>
      </c>
      <c r="F17" s="951" t="s">
        <v>852</v>
      </c>
      <c r="G17" s="818"/>
      <c r="H17" s="107"/>
      <c r="I17" s="818"/>
      <c r="J17" s="107"/>
      <c r="K17" s="290"/>
      <c r="L17" s="721"/>
      <c r="X17" s="759">
        <v>0</v>
      </c>
    </row>
    <row s="1636" customFormat="1" customHeight="1" ht="33.75">
      <c r="A18" s="2393"/>
      <c r="B18" s="512"/>
      <c r="D18" s="954" t="s">
        <v>367</v>
      </c>
      <c r="E18" s="955" t="s">
        <v>853</v>
      </c>
      <c r="F18" s="951" t="s">
        <v>604</v>
      </c>
      <c r="G18" s="681"/>
      <c r="H18" s="107"/>
      <c r="I18" s="681"/>
      <c r="J18" s="107"/>
      <c r="K18" s="290"/>
      <c r="L18" s="721"/>
      <c r="X18" s="759">
        <v>0</v>
      </c>
    </row>
    <row customHeight="1" ht="101.25">
      <c r="A19" s="2393"/>
      <c r="D19" s="954" t="s">
        <v>94</v>
      </c>
      <c r="E19" s="280" t="s">
        <v>854</v>
      </c>
      <c r="F19" s="661" t="s">
        <v>579</v>
      </c>
      <c r="G19" s="664"/>
      <c r="H19" s="663"/>
      <c r="I19" s="956"/>
      <c r="J19" s="663"/>
      <c r="K19" s="290" t="s">
        <v>855</v>
      </c>
      <c r="L19" s="721"/>
      <c r="X19" s="506">
        <v>0</v>
      </c>
    </row>
    <row s="1636" customFormat="1" customHeight="1" ht="18.75">
      <c r="A20" s="2393"/>
      <c r="C20" s="957"/>
      <c r="D20" s="954" t="s">
        <v>786</v>
      </c>
      <c r="E20" s="955" t="s">
        <v>856</v>
      </c>
      <c r="F20" s="951" t="s">
        <v>339</v>
      </c>
      <c r="G20" s="951" t="s">
        <v>339</v>
      </c>
      <c r="H20" s="950" t="s">
        <v>339</v>
      </c>
      <c r="I20" s="951" t="s">
        <v>339</v>
      </c>
      <c r="J20" s="950" t="s">
        <v>339</v>
      </c>
      <c r="K20" s="949"/>
      <c r="L20" s="721"/>
      <c r="W20" s="676"/>
      <c r="X20" s="759">
        <v>0</v>
      </c>
    </row>
    <row s="1636" customFormat="1" customHeight="1" ht="33.75">
      <c r="A21" s="2393"/>
      <c r="C21" s="957"/>
      <c r="D21" s="954" t="s">
        <v>789</v>
      </c>
      <c r="E21" s="577" t="s">
        <v>857</v>
      </c>
      <c r="F21" s="951" t="s">
        <v>858</v>
      </c>
      <c r="G21" s="681"/>
      <c r="H21" s="107"/>
      <c r="I21" s="681"/>
      <c r="J21" s="107"/>
      <c r="K21" s="949"/>
      <c r="L21" s="721"/>
      <c r="W21" s="676"/>
      <c r="X21" s="759">
        <v>0</v>
      </c>
    </row>
    <row s="1636" customFormat="1" customHeight="1" ht="33.75">
      <c r="A22" s="2393"/>
      <c r="C22" s="957"/>
      <c r="D22" s="954" t="s">
        <v>792</v>
      </c>
      <c r="E22" s="577" t="s">
        <v>859</v>
      </c>
      <c r="F22" s="951" t="s">
        <v>860</v>
      </c>
      <c r="G22" s="681"/>
      <c r="H22" s="107"/>
      <c r="I22" s="681"/>
      <c r="J22" s="107"/>
      <c r="K22" s="949"/>
      <c r="L22" s="721"/>
      <c r="W22" s="676"/>
      <c r="X22" s="759">
        <v>0</v>
      </c>
    </row>
    <row s="1636" customFormat="1" customHeight="1" ht="22.5">
      <c r="A23" s="2393"/>
      <c r="C23" s="957"/>
      <c r="D23" s="954" t="s">
        <v>828</v>
      </c>
      <c r="E23" s="955" t="s">
        <v>861</v>
      </c>
      <c r="F23" s="951" t="s">
        <v>339</v>
      </c>
      <c r="G23" s="951" t="s">
        <v>339</v>
      </c>
      <c r="H23" s="950" t="s">
        <v>339</v>
      </c>
      <c r="I23" s="951" t="s">
        <v>339</v>
      </c>
      <c r="J23" s="950" t="s">
        <v>339</v>
      </c>
      <c r="K23" s="949"/>
      <c r="L23" s="721"/>
      <c r="W23" s="676"/>
      <c r="X23" s="759">
        <v>0</v>
      </c>
    </row>
    <row s="1636" customFormat="1" customHeight="1" ht="22.5">
      <c r="A24" s="2393"/>
      <c r="C24" s="957"/>
      <c r="D24" s="954" t="s">
        <v>862</v>
      </c>
      <c r="E24" s="577" t="s">
        <v>863</v>
      </c>
      <c r="F24" s="951" t="s">
        <v>864</v>
      </c>
      <c r="G24" s="681"/>
      <c r="H24" s="687"/>
      <c r="I24" s="681"/>
      <c r="J24" s="687"/>
      <c r="K24" s="949"/>
      <c r="L24" s="721"/>
      <c r="W24" s="676"/>
      <c r="X24" s="759">
        <v>0</v>
      </c>
    </row>
    <row s="1636" customFormat="1" customHeight="1" ht="22.5">
      <c r="A25" s="2393"/>
      <c r="C25" s="957"/>
      <c r="D25" s="954" t="s">
        <v>865</v>
      </c>
      <c r="E25" s="577" t="s">
        <v>866</v>
      </c>
      <c r="F25" s="951" t="s">
        <v>339</v>
      </c>
      <c r="G25" s="951" t="s">
        <v>339</v>
      </c>
      <c r="H25" s="950" t="s">
        <v>339</v>
      </c>
      <c r="I25" s="951" t="s">
        <v>339</v>
      </c>
      <c r="J25" s="950" t="s">
        <v>339</v>
      </c>
      <c r="K25" s="949"/>
      <c r="L25" s="721"/>
      <c r="W25" s="676"/>
      <c r="X25" s="759">
        <v>0</v>
      </c>
    </row>
    <row s="1636" customFormat="1" customHeight="1" ht="18.75">
      <c r="A26" s="2393"/>
      <c r="C26" s="957"/>
      <c r="D26" s="954" t="s">
        <v>867</v>
      </c>
      <c r="E26" s="554" t="s">
        <v>868</v>
      </c>
      <c r="F26" s="951" t="s">
        <v>869</v>
      </c>
      <c r="G26" s="681"/>
      <c r="H26" s="687"/>
      <c r="I26" s="681"/>
      <c r="J26" s="687"/>
      <c r="K26" s="949"/>
      <c r="L26" s="721"/>
      <c r="W26" s="676"/>
      <c r="X26" s="759">
        <v>0</v>
      </c>
    </row>
    <row s="1636" customFormat="1" customHeight="1" ht="18.75">
      <c r="A27" s="2393"/>
      <c r="C27" s="957"/>
      <c r="D27" s="954" t="s">
        <v>870</v>
      </c>
      <c r="E27" s="554" t="s">
        <v>871</v>
      </c>
      <c r="F27" s="951" t="s">
        <v>872</v>
      </c>
      <c r="G27" s="681"/>
      <c r="H27" s="687"/>
      <c r="I27" s="681"/>
      <c r="J27" s="687"/>
      <c r="K27" s="949"/>
      <c r="L27" s="721"/>
      <c r="W27" s="676"/>
      <c r="X27" s="759">
        <v>0</v>
      </c>
    </row>
    <row s="1636" customFormat="1" customHeight="1" ht="18.75">
      <c r="A28" s="2393"/>
      <c r="C28" s="957"/>
      <c r="D28" s="954" t="s">
        <v>873</v>
      </c>
      <c r="E28" s="577" t="s">
        <v>874</v>
      </c>
      <c r="F28" s="951" t="s">
        <v>339</v>
      </c>
      <c r="G28" s="951" t="s">
        <v>339</v>
      </c>
      <c r="H28" s="950" t="s">
        <v>339</v>
      </c>
      <c r="I28" s="951" t="s">
        <v>339</v>
      </c>
      <c r="J28" s="950" t="s">
        <v>339</v>
      </c>
      <c r="K28" s="949"/>
      <c r="L28" s="721"/>
      <c r="W28" s="676"/>
      <c r="X28" s="759">
        <v>0</v>
      </c>
    </row>
    <row s="1636" customFormat="1" customHeight="1" ht="18.75">
      <c r="A29" s="2393"/>
      <c r="C29" s="957"/>
      <c r="D29" s="954" t="s">
        <v>875</v>
      </c>
      <c r="E29" s="554" t="s">
        <v>868</v>
      </c>
      <c r="F29" s="951" t="s">
        <v>876</v>
      </c>
      <c r="G29" s="681"/>
      <c r="H29" s="687"/>
      <c r="I29" s="681"/>
      <c r="J29" s="687"/>
      <c r="K29" s="949"/>
      <c r="L29" s="721"/>
      <c r="W29" s="676"/>
      <c r="X29" s="759">
        <v>0</v>
      </c>
    </row>
    <row s="1636" customFormat="1" customHeight="1" ht="18.75">
      <c r="A30" s="2393"/>
      <c r="C30" s="957"/>
      <c r="D30" s="954" t="s">
        <v>877</v>
      </c>
      <c r="E30" s="554" t="s">
        <v>878</v>
      </c>
      <c r="F30" s="951" t="s">
        <v>879</v>
      </c>
      <c r="G30" s="681"/>
      <c r="H30" s="687"/>
      <c r="I30" s="681"/>
      <c r="J30" s="687"/>
      <c r="K30" s="949"/>
      <c r="L30" s="721"/>
      <c r="W30" s="676"/>
      <c r="X30" s="759">
        <v>0</v>
      </c>
    </row>
    <row customHeight="1" ht="126.75">
      <c r="A31" s="2393"/>
      <c r="D31" s="954" t="s">
        <v>125</v>
      </c>
      <c r="E31" s="280" t="s">
        <v>880</v>
      </c>
      <c r="F31" s="661" t="s">
        <v>591</v>
      </c>
      <c r="G31" s="558"/>
      <c r="H31" s="663"/>
      <c r="I31" s="558"/>
      <c r="J31" s="663"/>
      <c r="K31" s="290" t="s">
        <v>881</v>
      </c>
      <c r="L31" s="721"/>
      <c r="X31" s="506">
        <v>0</v>
      </c>
    </row>
    <row customHeight="1" ht="56.25">
      <c r="A32" s="2393"/>
      <c r="D32" s="954" t="s">
        <v>95</v>
      </c>
      <c r="E32" s="280" t="s">
        <v>882</v>
      </c>
      <c r="F32" s="540" t="s">
        <v>852</v>
      </c>
      <c r="G32" s="558"/>
      <c r="H32" s="663"/>
      <c r="I32" s="558"/>
      <c r="J32" s="663"/>
      <c r="K32" s="290" t="s">
        <v>883</v>
      </c>
      <c r="L32" s="721"/>
      <c r="X32" s="506">
        <v>0</v>
      </c>
    </row>
    <row customHeight="1" ht="11.25">
      <c r="A33" s="2393"/>
      <c r="E33" s="665"/>
      <c r="F33" s="182"/>
      <c r="G33" s="182"/>
      <c r="H33" s="182"/>
      <c r="I33" s="182"/>
      <c r="J33" s="182"/>
      <c r="K33" s="182"/>
      <c r="X33" s="506">
        <v>0</v>
      </c>
    </row>
    <row customHeight="1" ht="12.75">
      <c r="A34" s="2393"/>
      <c r="D34" s="66">
        <v>1</v>
      </c>
      <c r="E34" s="336" t="s">
        <v>884</v>
      </c>
      <c r="X34" s="506">
        <v>0</v>
      </c>
    </row>
    <row customHeight="1" ht="11.25">
      <c r="A35" s="2393"/>
      <c r="D35" s="370"/>
      <c r="E35" s="336" t="s">
        <v>885</v>
      </c>
      <c r="X35" s="506">
        <v>0</v>
      </c>
    </row>
    <row s="1636" customFormat="1" customHeight="1" ht="11.549999999999999">
      <c r="A36" s="1034"/>
      <c r="B36" s="519"/>
      <c r="D36" s="1035"/>
      <c r="E36" s="1036"/>
      <c r="X36" s="510">
        <v>11</v>
      </c>
    </row>
    <row s="1636" customFormat="1" customHeight="1" ht="22.5" hidden="1">
      <c r="A37" s="2393" t="s">
        <v>886</v>
      </c>
      <c r="B37" s="512"/>
      <c r="D37" s="954">
        <v>1</v>
      </c>
      <c r="E37" s="708" t="s">
        <v>887</v>
      </c>
      <c r="F37" s="661" t="s">
        <v>842</v>
      </c>
      <c r="G37" s="558"/>
      <c r="H37" s="520"/>
      <c r="I37" s="558"/>
      <c r="J37" s="520"/>
      <c r="K37" s="290" t="s">
        <v>888</v>
      </c>
      <c r="X37" s="759">
        <v>0</v>
      </c>
    </row>
    <row s="1636" customFormat="1" customHeight="1" ht="22.5" hidden="1">
      <c r="A38" s="2393"/>
      <c r="B38" s="512"/>
      <c r="D38" s="670" t="s">
        <v>107</v>
      </c>
      <c r="E38" s="1033" t="s">
        <v>889</v>
      </c>
      <c r="F38" s="1037" t="s">
        <v>579</v>
      </c>
      <c r="G38" s="1037" t="s">
        <v>579</v>
      </c>
      <c r="H38" s="1031"/>
      <c r="I38" s="1037" t="s">
        <v>579</v>
      </c>
      <c r="J38" s="1031"/>
      <c r="K38" s="1032"/>
      <c r="X38" s="759">
        <v>0</v>
      </c>
    </row>
    <row s="1636" customFormat="1" customHeight="1" ht="33.75" hidden="1">
      <c r="A39" s="2393"/>
      <c r="B39" s="512"/>
      <c r="D39" s="666" t="s">
        <v>744</v>
      </c>
      <c r="E39" s="724" t="s">
        <v>890</v>
      </c>
      <c r="F39" s="661" t="s">
        <v>891</v>
      </c>
      <c r="G39" s="669"/>
      <c r="H39" s="1024"/>
      <c r="I39" s="669"/>
      <c r="J39" s="1024"/>
      <c r="K39" s="290" t="s">
        <v>892</v>
      </c>
      <c r="X39" s="759">
        <v>0</v>
      </c>
    </row>
    <row s="1636" customFormat="1" customHeight="1" ht="33.75" hidden="1">
      <c r="A40" s="2393"/>
      <c r="B40" s="512"/>
      <c r="D40" s="666" t="s">
        <v>747</v>
      </c>
      <c r="E40" s="724" t="s">
        <v>893</v>
      </c>
      <c r="F40" s="1028" t="s">
        <v>894</v>
      </c>
      <c r="G40" s="742"/>
      <c r="H40" s="1024"/>
      <c r="I40" s="742"/>
      <c r="J40" s="1024"/>
      <c r="K40" s="290" t="s">
        <v>895</v>
      </c>
      <c r="X40" s="759">
        <v>0</v>
      </c>
    </row>
    <row s="1636" customFormat="1" customHeight="1" ht="22.5" hidden="1">
      <c r="A41" s="2393"/>
      <c r="B41" s="512"/>
      <c r="D41" s="666" t="s">
        <v>93</v>
      </c>
      <c r="E41" s="723" t="s">
        <v>896</v>
      </c>
      <c r="F41" s="661" t="s">
        <v>579</v>
      </c>
      <c r="G41" s="661" t="s">
        <v>579</v>
      </c>
      <c r="H41" s="1025"/>
      <c r="I41" s="661" t="s">
        <v>579</v>
      </c>
      <c r="J41" s="1025"/>
      <c r="K41" s="303"/>
      <c r="X41" s="759">
        <v>0</v>
      </c>
    </row>
    <row s="1636" customFormat="1" customHeight="1" ht="45" hidden="1">
      <c r="A42" s="2393"/>
      <c r="B42" s="512"/>
      <c r="D42" s="666" t="s">
        <v>357</v>
      </c>
      <c r="E42" s="724" t="s">
        <v>897</v>
      </c>
      <c r="F42" s="661" t="s">
        <v>591</v>
      </c>
      <c r="G42" s="558"/>
      <c r="H42" s="1025"/>
      <c r="I42" s="558"/>
      <c r="J42" s="1025"/>
      <c r="K42" s="303" t="s">
        <v>898</v>
      </c>
      <c r="X42" s="759">
        <v>0</v>
      </c>
    </row>
    <row s="1636" customFormat="1" customHeight="1" ht="45" hidden="1">
      <c r="A43" s="2393"/>
      <c r="B43" s="512"/>
      <c r="D43" s="666" t="s">
        <v>365</v>
      </c>
      <c r="E43" s="668" t="s">
        <v>899</v>
      </c>
      <c r="F43" s="1029" t="s">
        <v>591</v>
      </c>
      <c r="G43" s="743"/>
      <c r="H43" s="1024"/>
      <c r="I43" s="743"/>
      <c r="J43" s="1024"/>
      <c r="K43" s="303" t="s">
        <v>900</v>
      </c>
      <c r="X43" s="759">
        <v>0</v>
      </c>
    </row>
    <row s="1636" customFormat="1" customHeight="1" ht="11.25" hidden="1">
      <c r="A44" s="2393"/>
      <c r="B44" s="512"/>
      <c r="D44" s="666" t="s">
        <v>94</v>
      </c>
      <c r="E44" s="667" t="s">
        <v>901</v>
      </c>
      <c r="F44" s="661" t="s">
        <v>891</v>
      </c>
      <c r="G44" s="669"/>
      <c r="H44" s="1024"/>
      <c r="I44" s="669"/>
      <c r="J44" s="1024"/>
      <c r="K44" s="290"/>
      <c r="X44" s="759">
        <v>0</v>
      </c>
    </row>
    <row s="1636" customFormat="1" customHeight="1" ht="11.25" hidden="1">
      <c r="A45" s="2393"/>
      <c r="B45" s="512"/>
      <c r="D45" s="666" t="s">
        <v>786</v>
      </c>
      <c r="E45" s="668" t="s">
        <v>902</v>
      </c>
      <c r="F45" s="661" t="s">
        <v>891</v>
      </c>
      <c r="G45" s="669"/>
      <c r="H45" s="1024"/>
      <c r="I45" s="669"/>
      <c r="J45" s="1024"/>
      <c r="K45" s="290"/>
      <c r="X45" s="759">
        <v>0</v>
      </c>
    </row>
    <row s="1636" customFormat="1" customHeight="1" ht="11.25" hidden="1">
      <c r="A46" s="2393"/>
      <c r="B46" s="512"/>
      <c r="D46" s="666" t="s">
        <v>828</v>
      </c>
      <c r="E46" s="668" t="s">
        <v>903</v>
      </c>
      <c r="F46" s="661" t="s">
        <v>891</v>
      </c>
      <c r="G46" s="669"/>
      <c r="H46" s="1024"/>
      <c r="I46" s="669"/>
      <c r="J46" s="1024"/>
      <c r="K46" s="290"/>
      <c r="X46" s="759">
        <v>0</v>
      </c>
    </row>
    <row s="1636" customFormat="1" customHeight="1" ht="11.25" hidden="1">
      <c r="A47" s="2393"/>
      <c r="B47" s="512"/>
      <c r="D47" s="666" t="s">
        <v>831</v>
      </c>
      <c r="E47" s="668" t="s">
        <v>904</v>
      </c>
      <c r="F47" s="661" t="s">
        <v>891</v>
      </c>
      <c r="G47" s="669"/>
      <c r="H47" s="1024"/>
      <c r="I47" s="669"/>
      <c r="J47" s="1024"/>
      <c r="K47" s="290"/>
      <c r="X47" s="759">
        <v>0</v>
      </c>
    </row>
    <row s="1636" customFormat="1" customHeight="1" ht="11.25" hidden="1">
      <c r="A48" s="2393"/>
      <c r="B48" s="512"/>
      <c r="D48" s="666" t="s">
        <v>905</v>
      </c>
      <c r="E48" s="672" t="s">
        <v>906</v>
      </c>
      <c r="F48" s="661" t="s">
        <v>891</v>
      </c>
      <c r="G48" s="669"/>
      <c r="H48" s="1024"/>
      <c r="I48" s="669"/>
      <c r="J48" s="1024"/>
      <c r="K48" s="290"/>
      <c r="X48" s="759">
        <v>0</v>
      </c>
    </row>
    <row s="1636" customFormat="1" customHeight="1" ht="11.25" hidden="1">
      <c r="A49" s="2393"/>
      <c r="B49" s="512"/>
      <c r="D49" s="666" t="s">
        <v>907</v>
      </c>
      <c r="E49" s="672" t="s">
        <v>908</v>
      </c>
      <c r="F49" s="661" t="s">
        <v>891</v>
      </c>
      <c r="G49" s="669"/>
      <c r="H49" s="1024"/>
      <c r="I49" s="669"/>
      <c r="J49" s="1024"/>
      <c r="K49" s="290"/>
      <c r="X49" s="759">
        <v>0</v>
      </c>
    </row>
    <row s="1636" customFormat="1" customHeight="1" ht="11.25" hidden="1">
      <c r="A50" s="2393"/>
      <c r="B50" s="512"/>
      <c r="D50" s="666" t="s">
        <v>909</v>
      </c>
      <c r="E50" s="668" t="s">
        <v>910</v>
      </c>
      <c r="F50" s="661" t="s">
        <v>891</v>
      </c>
      <c r="G50" s="669"/>
      <c r="H50" s="1024"/>
      <c r="I50" s="669"/>
      <c r="J50" s="1024"/>
      <c r="K50" s="290"/>
      <c r="X50" s="759">
        <v>0</v>
      </c>
    </row>
    <row s="1636" customFormat="1" customHeight="1" ht="11.25" hidden="1">
      <c r="A51" s="2393"/>
      <c r="B51" s="512"/>
      <c r="D51" s="666" t="s">
        <v>911</v>
      </c>
      <c r="E51" s="668" t="s">
        <v>912</v>
      </c>
      <c r="F51" s="661" t="s">
        <v>891</v>
      </c>
      <c r="G51" s="669"/>
      <c r="H51" s="1024"/>
      <c r="I51" s="669"/>
      <c r="J51" s="1024"/>
      <c r="K51" s="290"/>
      <c r="X51" s="759">
        <v>0</v>
      </c>
    </row>
    <row s="1636" customFormat="1" customHeight="1" ht="45" hidden="1">
      <c r="A52" s="2393"/>
      <c r="B52" s="512"/>
      <c r="D52" s="666" t="s">
        <v>125</v>
      </c>
      <c r="E52" s="667" t="s">
        <v>913</v>
      </c>
      <c r="F52" s="661" t="s">
        <v>891</v>
      </c>
      <c r="G52" s="669"/>
      <c r="H52" s="1024"/>
      <c r="I52" s="669"/>
      <c r="J52" s="1024"/>
      <c r="K52" s="290"/>
      <c r="X52" s="759">
        <v>0</v>
      </c>
    </row>
    <row s="1636" customFormat="1" customHeight="1" ht="11.25" hidden="1">
      <c r="A53" s="2393"/>
      <c r="B53" s="512"/>
      <c r="D53" s="666" t="s">
        <v>346</v>
      </c>
      <c r="E53" s="668" t="s">
        <v>902</v>
      </c>
      <c r="F53" s="661" t="s">
        <v>891</v>
      </c>
      <c r="G53" s="669"/>
      <c r="H53" s="1024"/>
      <c r="I53" s="669"/>
      <c r="J53" s="1024"/>
      <c r="K53" s="290"/>
      <c r="X53" s="759">
        <v>0</v>
      </c>
    </row>
    <row s="1636" customFormat="1" customHeight="1" ht="11.25" hidden="1">
      <c r="A54" s="2393"/>
      <c r="B54" s="512"/>
      <c r="D54" s="666" t="s">
        <v>914</v>
      </c>
      <c r="E54" s="668" t="s">
        <v>903</v>
      </c>
      <c r="F54" s="661" t="s">
        <v>891</v>
      </c>
      <c r="G54" s="669"/>
      <c r="H54" s="1024"/>
      <c r="I54" s="669"/>
      <c r="J54" s="1024"/>
      <c r="K54" s="290"/>
      <c r="X54" s="759">
        <v>0</v>
      </c>
    </row>
    <row s="1636" customFormat="1" customHeight="1" ht="11.25" hidden="1">
      <c r="A55" s="2393"/>
      <c r="B55" s="512"/>
      <c r="D55" s="666" t="s">
        <v>915</v>
      </c>
      <c r="E55" s="668" t="s">
        <v>904</v>
      </c>
      <c r="F55" s="661" t="s">
        <v>891</v>
      </c>
      <c r="G55" s="669"/>
      <c r="H55" s="1024"/>
      <c r="I55" s="669"/>
      <c r="J55" s="1024"/>
      <c r="K55" s="290"/>
      <c r="X55" s="759">
        <v>0</v>
      </c>
    </row>
    <row s="1636" customFormat="1" customHeight="1" ht="11.25" hidden="1">
      <c r="A56" s="2393"/>
      <c r="B56" s="512"/>
      <c r="D56" s="666" t="s">
        <v>916</v>
      </c>
      <c r="E56" s="672" t="s">
        <v>906</v>
      </c>
      <c r="F56" s="661" t="s">
        <v>891</v>
      </c>
      <c r="G56" s="669"/>
      <c r="H56" s="1024"/>
      <c r="I56" s="669"/>
      <c r="J56" s="1024"/>
      <c r="K56" s="290"/>
      <c r="X56" s="759">
        <v>0</v>
      </c>
    </row>
    <row s="1636" customFormat="1" customHeight="1" ht="11.25" hidden="1">
      <c r="A57" s="2393"/>
      <c r="B57" s="512"/>
      <c r="D57" s="666" t="s">
        <v>917</v>
      </c>
      <c r="E57" s="672" t="s">
        <v>908</v>
      </c>
      <c r="F57" s="661" t="s">
        <v>891</v>
      </c>
      <c r="G57" s="669"/>
      <c r="H57" s="1024"/>
      <c r="I57" s="669"/>
      <c r="J57" s="1024"/>
      <c r="K57" s="290"/>
      <c r="X57" s="759">
        <v>0</v>
      </c>
    </row>
    <row s="1636" customFormat="1" customHeight="1" ht="11.25" hidden="1">
      <c r="A58" s="2393"/>
      <c r="B58" s="512"/>
      <c r="D58" s="666" t="s">
        <v>918</v>
      </c>
      <c r="E58" s="668" t="s">
        <v>910</v>
      </c>
      <c r="F58" s="661" t="s">
        <v>891</v>
      </c>
      <c r="G58" s="669"/>
      <c r="H58" s="1024"/>
      <c r="I58" s="669"/>
      <c r="J58" s="1024"/>
      <c r="K58" s="290"/>
      <c r="X58" s="759">
        <v>0</v>
      </c>
    </row>
    <row s="1636" customFormat="1" customHeight="1" ht="11.25" hidden="1">
      <c r="A59" s="2393"/>
      <c r="B59" s="512"/>
      <c r="D59" s="666" t="s">
        <v>919</v>
      </c>
      <c r="E59" s="668" t="s">
        <v>912</v>
      </c>
      <c r="F59" s="661" t="s">
        <v>891</v>
      </c>
      <c r="G59" s="669"/>
      <c r="H59" s="1024"/>
      <c r="I59" s="669"/>
      <c r="J59" s="1024"/>
      <c r="K59" s="290"/>
      <c r="X59" s="759">
        <v>0</v>
      </c>
    </row>
    <row s="1636" customFormat="1" customHeight="1" ht="33.75" hidden="1">
      <c r="A60" s="2393"/>
      <c r="B60" s="512"/>
      <c r="D60" s="666" t="s">
        <v>95</v>
      </c>
      <c r="E60" s="667" t="s">
        <v>920</v>
      </c>
      <c r="F60" s="722" t="s">
        <v>591</v>
      </c>
      <c r="G60" s="743"/>
      <c r="H60" s="1024"/>
      <c r="I60" s="743"/>
      <c r="J60" s="1024"/>
      <c r="K60" s="303" t="s">
        <v>921</v>
      </c>
      <c r="X60" s="759">
        <v>0</v>
      </c>
    </row>
    <row s="1636" customFormat="1" customHeight="1" ht="33.75" hidden="1">
      <c r="A61" s="2393"/>
      <c r="B61" s="512"/>
      <c r="D61" s="666" t="s">
        <v>96</v>
      </c>
      <c r="E61" s="667" t="s">
        <v>922</v>
      </c>
      <c r="F61" s="727" t="s">
        <v>852</v>
      </c>
      <c r="G61" s="669"/>
      <c r="H61" s="1024"/>
      <c r="I61" s="669"/>
      <c r="J61" s="1024"/>
      <c r="K61" s="290"/>
      <c r="X61" s="759">
        <v>0</v>
      </c>
    </row>
    <row s="1636" customFormat="1" customHeight="1" ht="22.5" hidden="1">
      <c r="A62" s="2393"/>
      <c r="B62" s="512" t="s">
        <v>621</v>
      </c>
      <c r="D62" s="666" t="s">
        <v>126</v>
      </c>
      <c r="E62" s="667" t="s">
        <v>923</v>
      </c>
      <c r="F62" s="727" t="s">
        <v>339</v>
      </c>
      <c r="G62" s="383"/>
      <c r="H62" s="1024"/>
      <c r="I62" s="383"/>
      <c r="J62" s="1024"/>
      <c r="K62" s="290" t="s">
        <v>664</v>
      </c>
      <c r="X62" s="759">
        <v>0</v>
      </c>
    </row>
    <row s="1636" customFormat="1" customHeight="1" ht="45" hidden="1">
      <c r="A63" s="2393"/>
      <c r="B63" s="512" t="s">
        <v>621</v>
      </c>
      <c r="D63" s="666" t="s">
        <v>924</v>
      </c>
      <c r="E63" s="668" t="s">
        <v>925</v>
      </c>
      <c r="F63" s="722" t="s">
        <v>339</v>
      </c>
      <c r="G63" s="383"/>
      <c r="H63" s="1024"/>
      <c r="I63" s="383"/>
      <c r="J63" s="1024"/>
      <c r="K63" s="290" t="s">
        <v>664</v>
      </c>
      <c r="X63" s="759">
        <v>0</v>
      </c>
    </row>
    <row s="1636" customFormat="1" customHeight="1" ht="11.549999999999999">
      <c r="A64" s="1034"/>
      <c r="B64" s="519"/>
      <c r="D64" s="1035"/>
      <c r="E64" s="1036"/>
      <c r="X64" s="510">
        <v>11</v>
      </c>
    </row>
    <row s="1636" customFormat="1" customHeight="1" ht="22.5" hidden="1">
      <c r="A65" s="2393" t="s">
        <v>926</v>
      </c>
      <c r="B65" s="512"/>
      <c r="D65" s="666">
        <v>1</v>
      </c>
      <c r="E65" s="745" t="s">
        <v>927</v>
      </c>
      <c r="F65" s="741" t="s">
        <v>842</v>
      </c>
      <c r="G65" s="742"/>
      <c r="H65" s="1030"/>
      <c r="I65" s="742"/>
      <c r="J65" s="1030"/>
      <c r="K65" s="302" t="s">
        <v>928</v>
      </c>
      <c r="X65" s="759">
        <v>0</v>
      </c>
    </row>
    <row s="1636" customFormat="1" customHeight="1" ht="56.25" hidden="1">
      <c r="A66" s="2393"/>
      <c r="B66" s="512"/>
      <c r="D66" s="744" t="s">
        <v>107</v>
      </c>
      <c r="E66" s="708" t="s">
        <v>929</v>
      </c>
      <c r="F66" s="661" t="s">
        <v>579</v>
      </c>
      <c r="G66" s="661" t="s">
        <v>579</v>
      </c>
      <c r="H66" s="520"/>
      <c r="I66" s="661" t="s">
        <v>579</v>
      </c>
      <c r="J66" s="520"/>
      <c r="K66" s="290"/>
      <c r="X66" s="759">
        <v>0</v>
      </c>
    </row>
    <row s="1636" customFormat="1" customHeight="1" ht="33.75" hidden="1">
      <c r="A67" s="2393"/>
      <c r="B67" s="512"/>
      <c r="D67" s="744" t="s">
        <v>741</v>
      </c>
      <c r="E67" s="955" t="s">
        <v>930</v>
      </c>
      <c r="F67" s="661" t="s">
        <v>894</v>
      </c>
      <c r="G67" s="728"/>
      <c r="H67" s="520"/>
      <c r="I67" s="728"/>
      <c r="J67" s="520"/>
      <c r="K67" s="290"/>
      <c r="X67" s="759">
        <v>0</v>
      </c>
    </row>
    <row s="1636" customFormat="1" customHeight="1" ht="22.5" hidden="1">
      <c r="A68" s="2393"/>
      <c r="B68" s="512"/>
      <c r="D68" s="744" t="s">
        <v>340</v>
      </c>
      <c r="E68" s="955" t="s">
        <v>931</v>
      </c>
      <c r="F68" s="661" t="s">
        <v>894</v>
      </c>
      <c r="G68" s="728"/>
      <c r="H68" s="520"/>
      <c r="I68" s="728"/>
      <c r="J68" s="520"/>
      <c r="K68" s="290"/>
      <c r="X68" s="759">
        <v>0</v>
      </c>
    </row>
    <row s="1636" customFormat="1" customHeight="1" ht="22.5" hidden="1">
      <c r="A69" s="2393"/>
      <c r="B69" s="512"/>
      <c r="D69" s="744" t="s">
        <v>343</v>
      </c>
      <c r="E69" s="955" t="s">
        <v>932</v>
      </c>
      <c r="F69" s="722" t="s">
        <v>591</v>
      </c>
      <c r="G69" s="743"/>
      <c r="H69" s="520"/>
      <c r="I69" s="743"/>
      <c r="J69" s="520"/>
      <c r="K69" s="290"/>
      <c r="X69" s="759">
        <v>0</v>
      </c>
    </row>
    <row s="1636" customFormat="1" customHeight="1" ht="22.5" hidden="1">
      <c r="A70" s="2393"/>
      <c r="B70" s="512"/>
      <c r="D70" s="744" t="s">
        <v>761</v>
      </c>
      <c r="E70" s="955" t="s">
        <v>933</v>
      </c>
      <c r="F70" s="722" t="s">
        <v>591</v>
      </c>
      <c r="G70" s="743"/>
      <c r="H70" s="520"/>
      <c r="I70" s="743"/>
      <c r="J70" s="520"/>
      <c r="K70" s="290"/>
      <c r="X70" s="759">
        <v>0</v>
      </c>
    </row>
    <row s="1636" customFormat="1" customHeight="1" ht="22.5" hidden="1">
      <c r="A71" s="2393"/>
      <c r="B71" s="512"/>
      <c r="D71" s="666" t="s">
        <v>93</v>
      </c>
      <c r="E71" s="667" t="s">
        <v>934</v>
      </c>
      <c r="F71" s="661" t="s">
        <v>894</v>
      </c>
      <c r="G71" s="558"/>
      <c r="H71" s="1031"/>
      <c r="I71" s="558"/>
      <c r="J71" s="1031"/>
      <c r="K71" s="303"/>
      <c r="X71" s="759">
        <v>0</v>
      </c>
    </row>
    <row s="1636" customFormat="1" customHeight="1" ht="56.25" hidden="1">
      <c r="A72" s="2393"/>
      <c r="B72" s="512"/>
      <c r="D72" s="666" t="s">
        <v>94</v>
      </c>
      <c r="E72" s="667" t="s">
        <v>935</v>
      </c>
      <c r="F72" s="722" t="s">
        <v>591</v>
      </c>
      <c r="G72" s="743"/>
      <c r="H72" s="1024"/>
      <c r="I72" s="743"/>
      <c r="J72" s="1024"/>
      <c r="K72" s="303"/>
      <c r="X72" s="759">
        <v>0</v>
      </c>
    </row>
    <row s="1636" customFormat="1" customHeight="1" ht="33.75" hidden="1">
      <c r="A73" s="2393"/>
      <c r="B73" s="512"/>
      <c r="D73" s="666" t="s">
        <v>125</v>
      </c>
      <c r="E73" s="667" t="s">
        <v>936</v>
      </c>
      <c r="F73" s="727" t="s">
        <v>852</v>
      </c>
      <c r="G73" s="669"/>
      <c r="H73" s="1024"/>
      <c r="I73" s="669"/>
      <c r="J73" s="1024"/>
      <c r="K73" s="290"/>
      <c r="X73" s="759">
        <v>0</v>
      </c>
    </row>
    <row s="1636" customFormat="1" customHeight="1" ht="22.5" hidden="1">
      <c r="A74" s="2393"/>
      <c r="B74" s="512" t="s">
        <v>621</v>
      </c>
      <c r="D74" s="666" t="s">
        <v>95</v>
      </c>
      <c r="E74" s="667" t="s">
        <v>937</v>
      </c>
      <c r="F74" s="727" t="s">
        <v>339</v>
      </c>
      <c r="G74" s="383"/>
      <c r="H74" s="1024"/>
      <c r="I74" s="383"/>
      <c r="J74" s="1024"/>
      <c r="K74" s="290" t="s">
        <v>664</v>
      </c>
      <c r="X74" s="759">
        <v>0</v>
      </c>
    </row>
    <row s="1636" customFormat="1" customHeight="1" ht="45" hidden="1">
      <c r="A75" s="2393"/>
      <c r="B75" s="512" t="s">
        <v>621</v>
      </c>
      <c r="D75" s="666" t="s">
        <v>685</v>
      </c>
      <c r="E75" s="668" t="s">
        <v>938</v>
      </c>
      <c r="F75" s="722" t="s">
        <v>339</v>
      </c>
      <c r="G75" s="383"/>
      <c r="H75" s="1024"/>
      <c r="I75" s="383"/>
      <c r="J75" s="1024"/>
      <c r="K75" s="290" t="s">
        <v>664</v>
      </c>
      <c r="X75" s="759">
        <v>0</v>
      </c>
    </row>
    <row s="1636" customFormat="1" customHeight="1" ht="11.549999999999999">
      <c r="A76" s="1034"/>
      <c r="B76" s="519"/>
      <c r="D76" s="1035"/>
      <c r="E76" s="1036"/>
      <c r="X76" s="510">
        <v>11</v>
      </c>
    </row>
    <row s="1636" customFormat="1" customHeight="1" ht="11.25" hidden="1">
      <c r="A77" s="2393" t="s">
        <v>939</v>
      </c>
      <c r="B77" s="512"/>
      <c r="D77" s="666">
        <v>1</v>
      </c>
      <c r="E77" s="667" t="s">
        <v>940</v>
      </c>
      <c r="F77" s="722" t="s">
        <v>842</v>
      </c>
      <c r="G77" s="725"/>
      <c r="H77" s="1024"/>
      <c r="I77" s="725"/>
      <c r="J77" s="1024"/>
      <c r="K77" s="290" t="s">
        <v>941</v>
      </c>
      <c r="X77" s="759">
        <v>0</v>
      </c>
    </row>
    <row s="1636" customFormat="1" customHeight="1" ht="11.25" hidden="1">
      <c r="A78" s="2393"/>
      <c r="B78" s="512"/>
      <c r="D78" s="666" t="s">
        <v>107</v>
      </c>
      <c r="E78" s="667" t="s">
        <v>942</v>
      </c>
      <c r="F78" s="722" t="s">
        <v>842</v>
      </c>
      <c r="G78" s="725"/>
      <c r="H78" s="1024"/>
      <c r="I78" s="725"/>
      <c r="J78" s="1024"/>
      <c r="K78" s="290" t="s">
        <v>943</v>
      </c>
      <c r="X78" s="759">
        <v>0</v>
      </c>
    </row>
    <row s="1636" customFormat="1" customHeight="1" ht="22.5" hidden="1">
      <c r="A79" s="2393"/>
      <c r="B79" s="512"/>
      <c r="D79" s="666" t="s">
        <v>93</v>
      </c>
      <c r="E79" s="723" t="s">
        <v>944</v>
      </c>
      <c r="F79" s="661" t="s">
        <v>891</v>
      </c>
      <c r="G79" s="725"/>
      <c r="H79" s="1024"/>
      <c r="I79" s="725"/>
      <c r="J79" s="1024"/>
      <c r="K79" s="290" t="s">
        <v>945</v>
      </c>
      <c r="X79" s="759">
        <v>0</v>
      </c>
    </row>
    <row s="1636" customFormat="1" customHeight="1" ht="11.25" hidden="1">
      <c r="A80" s="2393"/>
      <c r="B80" s="512"/>
      <c r="D80" s="666" t="s">
        <v>357</v>
      </c>
      <c r="E80" s="724" t="s">
        <v>946</v>
      </c>
      <c r="F80" s="661" t="s">
        <v>891</v>
      </c>
      <c r="G80" s="725"/>
      <c r="H80" s="1024"/>
      <c r="I80" s="725"/>
      <c r="J80" s="1024"/>
      <c r="K80" s="290"/>
      <c r="X80" s="759">
        <v>0</v>
      </c>
    </row>
    <row s="1636" customFormat="1" customHeight="1" ht="11.25" hidden="1">
      <c r="A81" s="2393"/>
      <c r="B81" s="512"/>
      <c r="D81" s="666" t="s">
        <v>365</v>
      </c>
      <c r="E81" s="724" t="s">
        <v>947</v>
      </c>
      <c r="F81" s="661" t="s">
        <v>891</v>
      </c>
      <c r="G81" s="725"/>
      <c r="H81" s="1024"/>
      <c r="I81" s="725"/>
      <c r="J81" s="1024"/>
      <c r="K81" s="290"/>
      <c r="X81" s="759">
        <v>0</v>
      </c>
    </row>
    <row s="1636" customFormat="1" customHeight="1" ht="11.25" hidden="1">
      <c r="A82" s="2393"/>
      <c r="B82" s="512"/>
      <c r="D82" s="666" t="s">
        <v>367</v>
      </c>
      <c r="E82" s="724" t="s">
        <v>948</v>
      </c>
      <c r="F82" s="661" t="s">
        <v>891</v>
      </c>
      <c r="G82" s="725"/>
      <c r="H82" s="1024"/>
      <c r="I82" s="725"/>
      <c r="J82" s="1024"/>
      <c r="K82" s="290"/>
      <c r="X82" s="759">
        <v>0</v>
      </c>
    </row>
    <row s="1636" customFormat="1" customHeight="1" ht="11.25" hidden="1">
      <c r="A83" s="2393"/>
      <c r="B83" s="512"/>
      <c r="D83" s="666" t="s">
        <v>369</v>
      </c>
      <c r="E83" s="724" t="s">
        <v>949</v>
      </c>
      <c r="F83" s="661" t="s">
        <v>891</v>
      </c>
      <c r="G83" s="725"/>
      <c r="H83" s="1024"/>
      <c r="I83" s="725"/>
      <c r="J83" s="1024"/>
      <c r="K83" s="290"/>
      <c r="X83" s="759">
        <v>0</v>
      </c>
    </row>
    <row s="1636" customFormat="1" customHeight="1" ht="11.25" hidden="1">
      <c r="A84" s="2393"/>
      <c r="B84" s="512"/>
      <c r="D84" s="666" t="s">
        <v>950</v>
      </c>
      <c r="E84" s="724" t="s">
        <v>951</v>
      </c>
      <c r="F84" s="661" t="s">
        <v>891</v>
      </c>
      <c r="G84" s="725"/>
      <c r="H84" s="1024"/>
      <c r="I84" s="725"/>
      <c r="J84" s="1024"/>
      <c r="K84" s="290"/>
      <c r="X84" s="759">
        <v>0</v>
      </c>
    </row>
    <row s="1636" customFormat="1" customHeight="1" ht="11.25" hidden="1">
      <c r="A85" s="2393"/>
      <c r="B85" s="512"/>
      <c r="D85" s="666" t="s">
        <v>952</v>
      </c>
      <c r="E85" s="724" t="s">
        <v>953</v>
      </c>
      <c r="F85" s="661" t="s">
        <v>891</v>
      </c>
      <c r="G85" s="725"/>
      <c r="H85" s="1024"/>
      <c r="I85" s="725"/>
      <c r="J85" s="1024"/>
      <c r="K85" s="290"/>
      <c r="X85" s="759">
        <v>0</v>
      </c>
    </row>
    <row s="1636" customFormat="1" customHeight="1" ht="11.25" hidden="1">
      <c r="A86" s="2393"/>
      <c r="B86" s="512"/>
      <c r="D86" s="666" t="s">
        <v>954</v>
      </c>
      <c r="E86" s="724" t="s">
        <v>955</v>
      </c>
      <c r="F86" s="661" t="s">
        <v>891</v>
      </c>
      <c r="G86" s="725"/>
      <c r="H86" s="1024"/>
      <c r="I86" s="725"/>
      <c r="J86" s="1024"/>
      <c r="K86" s="290"/>
      <c r="X86" s="759">
        <v>0</v>
      </c>
    </row>
    <row s="1636" customFormat="1" customHeight="1" ht="45" hidden="1">
      <c r="A87" s="2393"/>
      <c r="B87" s="512"/>
      <c r="D87" s="666" t="s">
        <v>94</v>
      </c>
      <c r="E87" s="667" t="s">
        <v>956</v>
      </c>
      <c r="F87" s="661" t="s">
        <v>891</v>
      </c>
      <c r="G87" s="725"/>
      <c r="H87" s="1024"/>
      <c r="I87" s="725"/>
      <c r="J87" s="1024"/>
      <c r="K87" s="290" t="s">
        <v>957</v>
      </c>
      <c r="X87" s="759">
        <v>0</v>
      </c>
    </row>
    <row s="1636" customFormat="1" customHeight="1" ht="11.25" hidden="1">
      <c r="A88" s="2393"/>
      <c r="B88" s="512"/>
      <c r="D88" s="666" t="s">
        <v>786</v>
      </c>
      <c r="E88" s="724" t="s">
        <v>946</v>
      </c>
      <c r="F88" s="661" t="s">
        <v>891</v>
      </c>
      <c r="G88" s="725"/>
      <c r="H88" s="1024"/>
      <c r="I88" s="725"/>
      <c r="J88" s="1024"/>
      <c r="K88" s="290"/>
      <c r="X88" s="759">
        <v>0</v>
      </c>
    </row>
    <row s="1636" customFormat="1" customHeight="1" ht="11.25" hidden="1">
      <c r="A89" s="2393"/>
      <c r="B89" s="512"/>
      <c r="D89" s="666" t="s">
        <v>828</v>
      </c>
      <c r="E89" s="724" t="s">
        <v>947</v>
      </c>
      <c r="F89" s="661" t="s">
        <v>891</v>
      </c>
      <c r="G89" s="725"/>
      <c r="H89" s="1024"/>
      <c r="I89" s="725"/>
      <c r="J89" s="1024"/>
      <c r="K89" s="290"/>
      <c r="X89" s="759">
        <v>0</v>
      </c>
    </row>
    <row s="1636" customFormat="1" customHeight="1" ht="11.25" hidden="1">
      <c r="A90" s="2393"/>
      <c r="B90" s="512"/>
      <c r="D90" s="666" t="s">
        <v>831</v>
      </c>
      <c r="E90" s="724" t="s">
        <v>948</v>
      </c>
      <c r="F90" s="661" t="s">
        <v>891</v>
      </c>
      <c r="G90" s="725"/>
      <c r="H90" s="1024"/>
      <c r="I90" s="725"/>
      <c r="J90" s="1024"/>
      <c r="K90" s="290"/>
      <c r="X90" s="759">
        <v>0</v>
      </c>
    </row>
    <row s="1636" customFormat="1" customHeight="1" ht="11.25" hidden="1">
      <c r="A91" s="2393"/>
      <c r="B91" s="512"/>
      <c r="D91" s="666" t="s">
        <v>909</v>
      </c>
      <c r="E91" s="724" t="s">
        <v>949</v>
      </c>
      <c r="F91" s="661" t="s">
        <v>891</v>
      </c>
      <c r="G91" s="725"/>
      <c r="H91" s="1024"/>
      <c r="I91" s="725"/>
      <c r="J91" s="1024"/>
      <c r="K91" s="290"/>
      <c r="X91" s="759">
        <v>0</v>
      </c>
    </row>
    <row s="1636" customFormat="1" customHeight="1" ht="11.25" hidden="1">
      <c r="A92" s="2393"/>
      <c r="B92" s="512"/>
      <c r="D92" s="666" t="s">
        <v>911</v>
      </c>
      <c r="E92" s="724" t="s">
        <v>951</v>
      </c>
      <c r="F92" s="661" t="s">
        <v>891</v>
      </c>
      <c r="G92" s="725"/>
      <c r="H92" s="1024"/>
      <c r="I92" s="725"/>
      <c r="J92" s="1024"/>
      <c r="K92" s="290"/>
      <c r="X92" s="759">
        <v>0</v>
      </c>
    </row>
    <row s="1636" customFormat="1" customHeight="1" ht="11.25" hidden="1">
      <c r="A93" s="2393"/>
      <c r="B93" s="512"/>
      <c r="D93" s="666" t="s">
        <v>958</v>
      </c>
      <c r="E93" s="724" t="s">
        <v>953</v>
      </c>
      <c r="F93" s="661" t="s">
        <v>891</v>
      </c>
      <c r="G93" s="725"/>
      <c r="H93" s="1024"/>
      <c r="I93" s="725"/>
      <c r="J93" s="1024"/>
      <c r="K93" s="290"/>
      <c r="X93" s="759">
        <v>0</v>
      </c>
    </row>
    <row s="1636" customFormat="1" customHeight="1" ht="11.25" hidden="1">
      <c r="A94" s="2393"/>
      <c r="B94" s="512"/>
      <c r="D94" s="666" t="s">
        <v>959</v>
      </c>
      <c r="E94" s="724" t="s">
        <v>955</v>
      </c>
      <c r="F94" s="661" t="s">
        <v>891</v>
      </c>
      <c r="G94" s="725"/>
      <c r="H94" s="1024"/>
      <c r="I94" s="725"/>
      <c r="J94" s="1024"/>
      <c r="K94" s="290"/>
      <c r="X94" s="759">
        <v>0</v>
      </c>
    </row>
    <row s="1636" customFormat="1" customHeight="1" ht="24.75" hidden="1">
      <c r="A95" s="2393"/>
      <c r="B95" s="512"/>
      <c r="D95" s="666" t="s">
        <v>125</v>
      </c>
      <c r="E95" s="667" t="s">
        <v>960</v>
      </c>
      <c r="F95" s="726" t="s">
        <v>591</v>
      </c>
      <c r="G95" s="728"/>
      <c r="H95" s="1024"/>
      <c r="I95" s="728"/>
      <c r="J95" s="1024"/>
      <c r="K95" s="290" t="s">
        <v>961</v>
      </c>
      <c r="X95" s="759">
        <v>0</v>
      </c>
    </row>
    <row s="1636" customFormat="1" customHeight="1" ht="33.75" hidden="1">
      <c r="A96" s="2393"/>
      <c r="B96" s="512"/>
      <c r="D96" s="666" t="s">
        <v>95</v>
      </c>
      <c r="E96" s="667" t="s">
        <v>962</v>
      </c>
      <c r="F96" s="727" t="s">
        <v>852</v>
      </c>
      <c r="G96" s="729"/>
      <c r="H96" s="1024"/>
      <c r="I96" s="729"/>
      <c r="J96" s="1024"/>
      <c r="K96" s="290"/>
      <c r="X96" s="759">
        <v>0</v>
      </c>
    </row>
    <row s="1636" customFormat="1" customHeight="1" ht="22.5" hidden="1">
      <c r="A97" s="2393"/>
      <c r="B97" s="512" t="s">
        <v>621</v>
      </c>
      <c r="D97" s="666" t="s">
        <v>96</v>
      </c>
      <c r="E97" s="667" t="s">
        <v>963</v>
      </c>
      <c r="F97" s="727" t="s">
        <v>339</v>
      </c>
      <c r="G97" s="386"/>
      <c r="H97" s="1024"/>
      <c r="I97" s="386"/>
      <c r="J97" s="1024"/>
      <c r="K97" s="290" t="s">
        <v>664</v>
      </c>
      <c r="X97" s="759">
        <v>0</v>
      </c>
    </row>
    <row s="1636" customFormat="1" customHeight="1" ht="45" hidden="1">
      <c r="A98" s="2393"/>
      <c r="B98" s="512" t="s">
        <v>621</v>
      </c>
      <c r="D98" s="666" t="s">
        <v>964</v>
      </c>
      <c r="E98" s="668" t="s">
        <v>965</v>
      </c>
      <c r="F98" s="722" t="s">
        <v>339</v>
      </c>
      <c r="G98" s="386"/>
      <c r="H98" s="1024"/>
      <c r="I98" s="386"/>
      <c r="J98" s="1024"/>
      <c r="K98" s="290" t="s">
        <v>664</v>
      </c>
      <c r="X98" s="759">
        <v>0</v>
      </c>
    </row>
    <row s="1636" customFormat="1" customHeight="1" ht="95.25" hidden="1">
      <c r="A99" s="2393"/>
      <c r="B99" s="512" t="s">
        <v>621</v>
      </c>
      <c r="D99" s="666" t="s">
        <v>126</v>
      </c>
      <c r="E99" s="667" t="s">
        <v>966</v>
      </c>
      <c r="F99" s="722" t="s">
        <v>339</v>
      </c>
      <c r="G99" s="386"/>
      <c r="H99" s="1024"/>
      <c r="I99" s="386"/>
      <c r="J99" s="1024"/>
      <c r="K99" s="290" t="s">
        <v>664</v>
      </c>
      <c r="X99" s="759">
        <v>0</v>
      </c>
    </row>
    <row s="1636" customFormat="1" customHeight="1" ht="22.5" hidden="1">
      <c r="A100" s="2393"/>
      <c r="B100" s="512" t="s">
        <v>621</v>
      </c>
      <c r="D100" s="666" t="s">
        <v>162</v>
      </c>
      <c r="E100" s="667" t="s">
        <v>967</v>
      </c>
      <c r="F100" s="722" t="s">
        <v>339</v>
      </c>
      <c r="G100" s="386"/>
      <c r="H100" s="1024"/>
      <c r="I100" s="386"/>
      <c r="J100" s="1024"/>
      <c r="K100" s="290" t="s">
        <v>664</v>
      </c>
      <c r="X100" s="759">
        <v>0</v>
      </c>
    </row>
    <row s="1636" customFormat="1" customHeight="1" ht="11.549999999999999">
      <c r="A101" s="1034"/>
      <c r="B101" s="519"/>
      <c r="D101" s="1035"/>
      <c r="E101" s="1036"/>
      <c r="X101" s="510">
        <v>11</v>
      </c>
    </row>
    <row customHeight="1" ht="22.5" hidden="1">
      <c r="A102" s="537" t="s">
        <v>85</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77E678-01DE-D6D2-1548-2F89C3EE2278}"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108</v>
      </c>
      <c r="D3" s="690" t="str">
        <f>B3&amp;".1"</f>
        <v>.1</v>
      </c>
      <c r="E3" s="691" t="s">
        <v>968</v>
      </c>
      <c r="F3" s="692" t="s">
        <v>339</v>
      </c>
      <c r="G3" s="687"/>
      <c r="H3" s="402"/>
      <c r="I3" s="687"/>
      <c r="J3" s="402"/>
      <c r="K3" s="290" t="s">
        <v>969</v>
      </c>
      <c r="V3" s="506">
        <v>0</v>
      </c>
    </row>
    <row customHeight="1" ht="15" hidden="1">
      <c r="A4" s="506"/>
      <c r="B4" s="2398"/>
      <c r="C4" s="2399"/>
      <c r="D4" s="690" t="str">
        <f>B3&amp;".2"</f>
        <v>.2</v>
      </c>
      <c r="E4" s="691" t="s">
        <v>970</v>
      </c>
      <c r="F4" s="692" t="s">
        <v>339</v>
      </c>
      <c r="G4" s="1739" t="s">
        <v>28</v>
      </c>
      <c r="H4" s="402"/>
      <c r="I4" s="1739" t="s">
        <v>28</v>
      </c>
      <c r="J4" s="402"/>
      <c r="K4" s="290" t="s">
        <v>971</v>
      </c>
      <c r="V4" s="506">
        <v>0</v>
      </c>
    </row>
    <row s="1367" customFormat="1" customHeight="1" ht="15" hidden="1">
      <c r="C5" s="673"/>
      <c r="U5" s="421"/>
      <c r="V5" s="418">
        <v>0</v>
      </c>
    </row>
    <row customHeight="1" ht="22.5" hidden="1">
      <c r="A6" s="506"/>
      <c r="B6" s="2398"/>
      <c r="C6" s="2399" t="s">
        <v>108</v>
      </c>
      <c r="D6" s="690" t="str">
        <f>B6&amp;".1"</f>
        <v>.1</v>
      </c>
      <c r="E6" s="691" t="s">
        <v>972</v>
      </c>
      <c r="F6" s="692" t="s">
        <v>339</v>
      </c>
      <c r="G6" s="687"/>
      <c r="H6" s="402"/>
      <c r="I6" s="687"/>
      <c r="J6" s="402"/>
      <c r="K6" s="290" t="s">
        <v>973</v>
      </c>
      <c r="V6" s="506">
        <v>0</v>
      </c>
    </row>
    <row customHeight="1" ht="15" hidden="1">
      <c r="A7" s="506"/>
      <c r="B7" s="2398"/>
      <c r="C7" s="2399"/>
      <c r="D7" s="690" t="str">
        <f>B6&amp;".2"</f>
        <v>.2</v>
      </c>
      <c r="E7" s="691" t="s">
        <v>970</v>
      </c>
      <c r="F7" s="692" t="s">
        <v>339</v>
      </c>
      <c r="G7" s="1739" t="s">
        <v>28</v>
      </c>
      <c r="H7" s="402"/>
      <c r="I7" s="1739" t="s">
        <v>28</v>
      </c>
      <c r="J7" s="402"/>
      <c r="K7" s="290" t="s">
        <v>971</v>
      </c>
      <c r="V7" s="506">
        <v>0</v>
      </c>
    </row>
    <row s="1367" customFormat="1" customHeight="1" ht="15" hidden="1">
      <c r="C8" s="673"/>
      <c r="U8" s="421"/>
      <c r="V8" s="418">
        <v>0</v>
      </c>
    </row>
    <row customHeight="1" ht="22.5" hidden="1">
      <c r="A9" s="506"/>
      <c r="B9" s="2398"/>
      <c r="C9" s="2399" t="s">
        <v>108</v>
      </c>
      <c r="D9" s="690" t="str">
        <f>B9&amp;".1"</f>
        <v>.1</v>
      </c>
      <c r="E9" s="691" t="s">
        <v>974</v>
      </c>
      <c r="F9" s="692" t="s">
        <v>339</v>
      </c>
      <c r="G9" s="698" t="s">
        <v>28</v>
      </c>
      <c r="H9" s="402" t="s">
        <v>28</v>
      </c>
      <c r="I9" s="698" t="s">
        <v>28</v>
      </c>
      <c r="J9" s="402" t="s">
        <v>28</v>
      </c>
      <c r="K9" s="290"/>
      <c r="V9" s="506">
        <v>0</v>
      </c>
    </row>
    <row customHeight="1" ht="15" hidden="1">
      <c r="A10" s="506"/>
      <c r="B10" s="2398"/>
      <c r="C10" s="2399"/>
      <c r="D10" s="690" t="str">
        <f>B9&amp;".2"</f>
        <v>.2</v>
      </c>
      <c r="E10" s="691" t="s">
        <v>975</v>
      </c>
      <c r="F10" s="692" t="s">
        <v>339</v>
      </c>
      <c r="G10" s="1733" t="s">
        <v>28</v>
      </c>
      <c r="H10" s="402" t="s">
        <v>28</v>
      </c>
      <c r="I10" s="1733" t="s">
        <v>28</v>
      </c>
      <c r="J10" s="402" t="s">
        <v>28</v>
      </c>
      <c r="K10" s="290" t="s">
        <v>976</v>
      </c>
      <c r="V10" s="506">
        <v>0</v>
      </c>
    </row>
    <row customHeight="1" ht="15" hidden="1">
      <c r="A11" s="506"/>
      <c r="B11" s="2398"/>
      <c r="C11" s="2399"/>
      <c r="D11" s="690" t="str">
        <f>B9&amp;".3"</f>
        <v>.3</v>
      </c>
      <c r="E11" s="691" t="s">
        <v>977</v>
      </c>
      <c r="F11" s="692" t="s">
        <v>339</v>
      </c>
      <c r="G11" s="1733" t="s">
        <v>28</v>
      </c>
      <c r="H11" s="402" t="s">
        <v>28</v>
      </c>
      <c r="I11" s="1733" t="s">
        <v>28</v>
      </c>
      <c r="J11" s="402" t="s">
        <v>28</v>
      </c>
      <c r="K11" s="290" t="s">
        <v>978</v>
      </c>
      <c r="V11" s="506">
        <v>0</v>
      </c>
    </row>
    <row s="1367" customFormat="1" customHeight="1" ht="15" hidden="1">
      <c r="C12" s="673"/>
      <c r="U12" s="421"/>
      <c r="V12" s="418">
        <v>0</v>
      </c>
    </row>
    <row customHeight="1" ht="33.75" hidden="1">
      <c r="A13" s="506"/>
      <c r="B13" s="2398"/>
      <c r="C13" s="2399" t="s">
        <v>108</v>
      </c>
      <c r="D13" s="690" t="str">
        <f>B13&amp;".1"</f>
        <v>.1</v>
      </c>
      <c r="E13" s="691" t="s">
        <v>979</v>
      </c>
      <c r="F13" s="692" t="s">
        <v>339</v>
      </c>
      <c r="G13" s="698" t="s">
        <v>28</v>
      </c>
      <c r="H13" s="402" t="s">
        <v>28</v>
      </c>
      <c r="I13" s="698" t="s">
        <v>28</v>
      </c>
      <c r="J13" s="402" t="s">
        <v>28</v>
      </c>
      <c r="K13" s="290" t="s">
        <v>980</v>
      </c>
      <c r="V13" s="506">
        <v>0</v>
      </c>
    </row>
    <row customHeight="1" ht="15" hidden="1">
      <c r="B14" s="2398"/>
      <c r="C14" s="2399"/>
      <c r="D14" s="690" t="str">
        <f>B13&amp;".2"</f>
        <v>.2</v>
      </c>
      <c r="E14" s="691" t="s">
        <v>981</v>
      </c>
      <c r="F14" s="692" t="s">
        <v>339</v>
      </c>
      <c r="G14" s="1733" t="s">
        <v>28</v>
      </c>
      <c r="H14" s="402" t="s">
        <v>28</v>
      </c>
      <c r="I14" s="1733" t="s">
        <v>28</v>
      </c>
      <c r="J14" s="402" t="s">
        <v>28</v>
      </c>
      <c r="K14" s="290" t="s">
        <v>982</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8"/>
      <c r="F22" s="2238"/>
      <c r="G22" s="2238"/>
      <c r="H22" s="2238"/>
      <c r="I22" s="2238"/>
      <c r="J22" s="677"/>
      <c r="K22" s="538"/>
      <c r="V22" s="506">
        <v>22</v>
      </c>
    </row>
    <row customHeight="1" ht="15.75">
      <c r="C23" s="177"/>
      <c r="D23" s="2177" t="str">
        <f>IF(org=0,"Не определено",org)</f>
        <v>КГУП "Примтеплоэнерго"</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131</v>
      </c>
      <c r="J25" s="753"/>
      <c r="K25" s="418"/>
      <c r="U25" s="676"/>
      <c r="V25" s="759">
        <v>1</v>
      </c>
    </row>
    <row customHeight="1" ht="15.75">
      <c r="C26" s="177"/>
      <c r="D26" s="712"/>
      <c r="E26" s="2368" t="s">
        <v>120</v>
      </c>
      <c r="F26" s="2369"/>
      <c r="G26" s="2396" t="str">
        <f>IF(G25="","",INDEX(DIFFERENTIATION_UNMERGE_VD,MATCH(G25,DIFFERENTIATION_ID_DIFF,0)))</f>
        <v/>
      </c>
      <c r="H26" s="2397"/>
      <c r="I26" s="2396">
        <f>IF(I25="","",INDEX(DIFFERENTIATION_UNMERGE_VD,MATCH(I25,DIFFERENTIATION_ID_DIFF,0)))</f>
        <v>0</v>
      </c>
      <c r="J26" s="2397"/>
      <c r="K26" s="2176" t="s">
        <v>334</v>
      </c>
      <c r="V26" s="506">
        <v>15</v>
      </c>
    </row>
    <row s="1636" customFormat="1" customHeight="1" ht="15.75">
      <c r="A27" s="760"/>
      <c r="C27" s="177"/>
      <c r="D27" s="712"/>
      <c r="E27" s="2368" t="s">
        <v>597</v>
      </c>
      <c r="F27" s="2369"/>
      <c r="G27" s="2396" t="str">
        <f>IF(G25="","",INDEX(DIFFERENTIATION_UNMERGE_AREA,MATCH(G25,DIFFERENTIATION_ID_DIFF,0)))</f>
        <v/>
      </c>
      <c r="H27" s="2397"/>
      <c r="I27" s="2396" t="str">
        <f>IF(I25="","",INDEX(DIFFERENTIATION_UNMERGE_AREA,MATCH(I25,DIFFERENTIATION_ID_DIFF,0)))</f>
        <v/>
      </c>
      <c r="J27" s="2397"/>
      <c r="K27" s="2196"/>
      <c r="U27" s="676"/>
      <c r="V27" s="759">
        <v>15</v>
      </c>
    </row>
    <row s="1636" customFormat="1" customHeight="1" ht="15.75">
      <c r="A28" s="760"/>
      <c r="C28" s="177"/>
      <c r="D28" s="712"/>
      <c r="E28" s="2368" t="s">
        <v>598</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333</v>
      </c>
      <c r="E29" s="2371"/>
      <c r="F29" s="2371"/>
      <c r="G29" s="888"/>
      <c r="H29" s="888"/>
      <c r="I29" s="888"/>
      <c r="J29" s="889"/>
      <c r="K29" s="2196"/>
      <c r="U29" s="676"/>
      <c r="V29" s="759">
        <v>15</v>
      </c>
    </row>
    <row customHeight="1" ht="35.699999999999996">
      <c r="C30" s="177"/>
      <c r="D30" s="762" t="s">
        <v>91</v>
      </c>
      <c r="E30" s="761" t="s">
        <v>335</v>
      </c>
      <c r="F30" s="761" t="s">
        <v>599</v>
      </c>
      <c r="G30" s="809" t="s">
        <v>336</v>
      </c>
      <c r="H30" s="808" t="s">
        <v>423</v>
      </c>
      <c r="I30" s="685" t="s">
        <v>336</v>
      </c>
      <c r="J30" s="466" t="s">
        <v>423</v>
      </c>
      <c r="K30" s="2202"/>
      <c r="V30" s="506">
        <v>34</v>
      </c>
    </row>
    <row customHeight="1" ht="15" hidden="1">
      <c r="C31" s="177"/>
      <c r="D31" s="594"/>
      <c r="E31" s="594"/>
      <c r="F31" s="594"/>
      <c r="G31" s="660"/>
      <c r="H31" s="660"/>
      <c r="I31" s="660"/>
      <c r="J31" s="660"/>
      <c r="K31" s="290"/>
      <c r="V31" s="506">
        <v>0</v>
      </c>
    </row>
    <row customHeight="1" ht="24">
      <c r="A32" s="506"/>
      <c r="B32" s="506" t="s">
        <v>983</v>
      </c>
      <c r="C32" s="527"/>
      <c r="D32" s="693">
        <v>1</v>
      </c>
      <c r="E32" s="694" t="s">
        <v>984</v>
      </c>
      <c r="F32" s="692" t="s">
        <v>339</v>
      </c>
      <c r="G32" s="814" t="s">
        <v>339</v>
      </c>
      <c r="H32" s="814" t="s">
        <v>339</v>
      </c>
      <c r="I32" s="692" t="s">
        <v>339</v>
      </c>
      <c r="J32" s="692" t="s">
        <v>339</v>
      </c>
      <c r="K32" s="290"/>
      <c r="V32" s="506">
        <v>23</v>
      </c>
    </row>
    <row customHeight="1" ht="11.549999999999999">
      <c r="A33" s="506"/>
      <c r="C33" s="506"/>
      <c r="D33" s="348"/>
      <c r="E33" s="581" t="s">
        <v>619</v>
      </c>
      <c r="F33" s="573"/>
      <c r="G33" s="573"/>
      <c r="H33" s="573"/>
      <c r="I33" s="573"/>
      <c r="J33" s="573"/>
      <c r="K33" s="574"/>
      <c r="U33" s="506"/>
      <c r="V33" s="506">
        <v>11</v>
      </c>
    </row>
    <row customHeight="1" ht="24">
      <c r="A34" s="506"/>
      <c r="B34" s="582" t="s">
        <v>669</v>
      </c>
      <c r="C34" s="527"/>
      <c r="D34" s="693">
        <v>2</v>
      </c>
      <c r="E34" s="694" t="s">
        <v>985</v>
      </c>
      <c r="F34" s="821" t="s">
        <v>339</v>
      </c>
      <c r="G34" s="821" t="s">
        <v>339</v>
      </c>
      <c r="H34" s="821" t="s">
        <v>339</v>
      </c>
      <c r="I34" s="692"/>
      <c r="J34" s="692"/>
      <c r="K34" s="290"/>
      <c r="V34" s="506">
        <v>23</v>
      </c>
    </row>
    <row customHeight="1" ht="11.549999999999999">
      <c r="A35" s="506"/>
      <c r="C35" s="506"/>
      <c r="D35" s="348"/>
      <c r="E35" s="581" t="s">
        <v>986</v>
      </c>
      <c r="F35" s="573"/>
      <c r="G35" s="695"/>
      <c r="H35" s="573"/>
      <c r="I35" s="695"/>
      <c r="J35" s="573"/>
      <c r="K35" s="574"/>
      <c r="U35" s="506"/>
      <c r="V35" s="506">
        <v>11</v>
      </c>
    </row>
    <row customHeight="1" ht="71.25">
      <c r="A36" s="506"/>
      <c r="B36" s="506" t="s">
        <v>987</v>
      </c>
      <c r="C36" s="527"/>
      <c r="D36" s="693">
        <v>3</v>
      </c>
      <c r="E36" s="694" t="s">
        <v>988</v>
      </c>
      <c r="F36" s="696" t="s">
        <v>339</v>
      </c>
      <c r="G36" s="815" t="s">
        <v>989</v>
      </c>
      <c r="H36" s="814" t="s">
        <v>339</v>
      </c>
      <c r="I36" s="525" t="s">
        <v>989</v>
      </c>
      <c r="J36" s="692" t="s">
        <v>339</v>
      </c>
      <c r="K36" s="290" t="s">
        <v>990</v>
      </c>
      <c r="V36" s="506">
        <v>68</v>
      </c>
    </row>
    <row customHeight="1" ht="11.549999999999999">
      <c r="A37" s="506"/>
      <c r="C37" s="506"/>
      <c r="D37" s="348"/>
      <c r="E37" s="581" t="s">
        <v>991</v>
      </c>
      <c r="F37" s="573"/>
      <c r="G37" s="695"/>
      <c r="H37" s="695"/>
      <c r="I37" s="695"/>
      <c r="J37" s="695"/>
      <c r="K37" s="574"/>
      <c r="U37" s="506"/>
      <c r="V37" s="506">
        <v>11</v>
      </c>
    </row>
    <row customHeight="1" ht="71.25">
      <c r="A38" s="506"/>
      <c r="B38" s="506" t="s">
        <v>992</v>
      </c>
      <c r="C38" s="527"/>
      <c r="D38" s="693">
        <v>4</v>
      </c>
      <c r="E38" s="694" t="s">
        <v>993</v>
      </c>
      <c r="F38" s="696" t="s">
        <v>339</v>
      </c>
      <c r="G38" s="815" t="s">
        <v>989</v>
      </c>
      <c r="H38" s="816" t="s">
        <v>339</v>
      </c>
      <c r="I38" s="525" t="s">
        <v>989</v>
      </c>
      <c r="J38" s="522" t="s">
        <v>339</v>
      </c>
      <c r="K38" s="680" t="s">
        <v>994</v>
      </c>
      <c r="V38" s="506">
        <v>68</v>
      </c>
    </row>
    <row customHeight="1" ht="11.549999999999999">
      <c r="A39" s="506"/>
      <c r="C39" s="506"/>
      <c r="D39" s="348"/>
      <c r="E39" s="581" t="s">
        <v>995</v>
      </c>
      <c r="F39" s="573"/>
      <c r="G39" s="573"/>
      <c r="H39" s="697"/>
      <c r="I39" s="573"/>
      <c r="J39" s="697"/>
      <c r="K39" s="574"/>
      <c r="U39" s="506"/>
      <c r="V39" s="506">
        <v>11</v>
      </c>
    </row>
    <row customHeight="1" ht="22.5" hidden="1">
      <c r="A40" s="450" t="s">
        <v>85</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B7B968-9268-B7FF-9052-E706B0FA1AA8}"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996</v>
      </c>
      <c r="H3" s="1157"/>
      <c r="AE3" s="760">
        <v>0</v>
      </c>
    </row>
    <row customHeight="1" ht="3">
      <c r="AE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M5" s="583"/>
      <c r="AB5" s="907"/>
      <c r="AE5" s="759">
        <v>26</v>
      </c>
    </row>
    <row s="1636" customFormat="1" customHeight="1" ht="16.8">
      <c r="A6" s="1167"/>
      <c r="B6" s="1167"/>
      <c r="C6" s="1167"/>
      <c r="D6" s="1161"/>
      <c r="E6" s="1636"/>
      <c r="F6" s="2250" t="str">
        <f>IF(org=0,"Не определено",org)</f>
        <v>КГУП "Примтеплоэнерго"</v>
      </c>
      <c r="G6" s="2250"/>
      <c r="H6" s="2250"/>
      <c r="I6" s="2250"/>
      <c r="J6" s="2250"/>
      <c r="K6" s="2250"/>
      <c r="M6" s="583"/>
      <c r="AB6" s="1149"/>
      <c r="AE6" s="1632">
        <v>16</v>
      </c>
    </row>
    <row customHeight="1" ht="10.5">
      <c r="AE7" s="759">
        <v>10</v>
      </c>
    </row>
    <row customHeight="1" ht="10.5">
      <c r="A8" s="1052"/>
      <c r="B8" s="1052"/>
      <c r="C8" s="1052"/>
      <c r="F8" s="2102" t="s">
        <v>333</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91</v>
      </c>
      <c r="G9" s="2128" t="s">
        <v>996</v>
      </c>
      <c r="H9" s="2176" t="s">
        <v>997</v>
      </c>
      <c r="I9" s="2128" t="s">
        <v>998</v>
      </c>
      <c r="J9" s="2128" t="s">
        <v>999</v>
      </c>
      <c r="K9" s="2128" t="s">
        <v>1000</v>
      </c>
      <c r="L9" s="2128" t="s">
        <v>1001</v>
      </c>
      <c r="M9" s="2128" t="s">
        <v>1002</v>
      </c>
      <c r="N9" s="2210" t="s">
        <v>1003</v>
      </c>
      <c r="O9" s="2210"/>
      <c r="P9" s="2210"/>
      <c r="Q9" s="2400" t="s">
        <v>1004</v>
      </c>
      <c r="R9" s="2401"/>
      <c r="S9" s="2401"/>
      <c r="T9" s="2402"/>
      <c r="U9" s="2400" t="s">
        <v>1005</v>
      </c>
      <c r="V9" s="2401"/>
      <c r="W9" s="2401"/>
      <c r="X9" s="2402"/>
      <c r="Y9" s="2102" t="s">
        <v>1006</v>
      </c>
      <c r="Z9" s="2103"/>
      <c r="AA9" s="2103"/>
      <c r="AB9" s="2104"/>
      <c r="AE9" s="759">
        <v>41</v>
      </c>
    </row>
    <row customHeight="1" ht="43.050000000000004">
      <c r="A10" s="906"/>
      <c r="B10" s="906"/>
      <c r="C10" s="906"/>
      <c r="F10" s="2176"/>
      <c r="G10" s="2176"/>
      <c r="H10" s="2233"/>
      <c r="I10" s="2176"/>
      <c r="J10" s="2176"/>
      <c r="K10" s="2176"/>
      <c r="L10" s="2176"/>
      <c r="M10" s="2176"/>
      <c r="N10" s="904" t="s">
        <v>1007</v>
      </c>
      <c r="O10" s="904" t="s">
        <v>1008</v>
      </c>
      <c r="P10" s="905" t="s">
        <v>1009</v>
      </c>
      <c r="Q10" s="916" t="s">
        <v>92</v>
      </c>
      <c r="R10" s="916" t="s">
        <v>1010</v>
      </c>
      <c r="S10" s="916" t="s">
        <v>1011</v>
      </c>
      <c r="T10" s="917" t="s">
        <v>1012</v>
      </c>
      <c r="U10" s="916" t="s">
        <v>92</v>
      </c>
      <c r="V10" s="916" t="s">
        <v>1013</v>
      </c>
      <c r="W10" s="916" t="s">
        <v>1011</v>
      </c>
      <c r="X10" s="917" t="s">
        <v>1012</v>
      </c>
      <c r="Y10" s="302" t="s">
        <v>1014</v>
      </c>
      <c r="Z10" s="2102" t="s">
        <v>91</v>
      </c>
      <c r="AA10" s="2104"/>
      <c r="AB10" s="1050" t="s">
        <v>1015</v>
      </c>
      <c r="AE10" s="759">
        <v>41</v>
      </c>
    </row>
    <row s="1643" customFormat="1" customHeight="1" ht="5.25" hidden="1">
      <c r="A11" s="1053"/>
      <c r="B11" s="1053"/>
      <c r="C11" s="1053"/>
      <c r="E11" s="1051"/>
      <c r="F11" s="2407" t="s">
        <v>409</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1016</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1017</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85</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CD836A-C4D8-FC8A-EC22-B6F56DC5C404}"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L5" s="1136"/>
      <c r="M5" s="1136"/>
      <c r="AG5" s="907"/>
      <c r="AH5" s="1149"/>
      <c r="BG5" s="759">
        <v>26</v>
      </c>
    </row>
    <row customHeight="1" ht="10.5">
      <c r="F6" s="2177" t="str">
        <f>IF(org=0,"Не определено",org)</f>
        <v>КГУП "Примтеплоэнерго"</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333</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1018</v>
      </c>
      <c r="G9" s="2410" t="s">
        <v>1019</v>
      </c>
      <c r="H9" s="2411"/>
      <c r="I9" s="2128" t="s">
        <v>1020</v>
      </c>
      <c r="J9" s="2128"/>
      <c r="K9" s="2128" t="s">
        <v>1021</v>
      </c>
      <c r="L9" s="2128"/>
      <c r="M9" s="2128"/>
      <c r="N9" s="2128"/>
      <c r="O9" s="2128"/>
      <c r="P9" s="2128"/>
      <c r="Q9" s="2128"/>
      <c r="R9" s="2128"/>
      <c r="S9" s="2128"/>
      <c r="T9" s="2128"/>
      <c r="U9" s="2128"/>
      <c r="V9" s="2128"/>
      <c r="W9" s="2128"/>
      <c r="X9" s="2128"/>
      <c r="Y9" s="2128"/>
      <c r="Z9" s="2193" t="s">
        <v>1022</v>
      </c>
      <c r="AA9" s="2194"/>
      <c r="AB9" s="2128" t="s">
        <v>1023</v>
      </c>
      <c r="AC9" s="2128"/>
      <c r="AD9" s="2128"/>
      <c r="AE9" s="2128"/>
      <c r="AF9" s="2176" t="s">
        <v>1024</v>
      </c>
      <c r="AG9" s="2128" t="s">
        <v>1025</v>
      </c>
      <c r="AH9" s="2128"/>
      <c r="AI9" s="2176" t="s">
        <v>1026</v>
      </c>
      <c r="AJ9" s="2128" t="s">
        <v>1027</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1028</v>
      </c>
      <c r="L10" s="2102" t="s">
        <v>1029</v>
      </c>
      <c r="M10" s="2104"/>
      <c r="N10" s="2128" t="s">
        <v>1030</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1031</v>
      </c>
      <c r="M11" s="2176" t="s">
        <v>1032</v>
      </c>
      <c r="N11" s="2128" t="s">
        <v>1033</v>
      </c>
      <c r="O11" s="2128"/>
      <c r="P11" s="2419" t="s">
        <v>1014</v>
      </c>
      <c r="Q11" s="2419" t="s">
        <v>1034</v>
      </c>
      <c r="R11" s="2419" t="s">
        <v>1035</v>
      </c>
      <c r="S11" s="2419" t="s">
        <v>1036</v>
      </c>
      <c r="T11" s="2419"/>
      <c r="U11" s="2419"/>
      <c r="V11" s="2419"/>
      <c r="W11" s="2419"/>
      <c r="X11" s="2419"/>
      <c r="Y11" s="2419"/>
      <c r="Z11" s="2195"/>
      <c r="AA11" s="2196"/>
      <c r="AB11" s="2128" t="s">
        <v>1037</v>
      </c>
      <c r="AC11" s="2128"/>
      <c r="AD11" s="2102" t="s">
        <v>1038</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92</v>
      </c>
      <c r="J12" s="1154" t="s">
        <v>1039</v>
      </c>
      <c r="K12" s="2128"/>
      <c r="L12" s="2233"/>
      <c r="M12" s="2233"/>
      <c r="N12" s="2128"/>
      <c r="O12" s="2128"/>
      <c r="P12" s="2419"/>
      <c r="Q12" s="2419"/>
      <c r="R12" s="2419"/>
      <c r="S12" s="1135" t="s">
        <v>89</v>
      </c>
      <c r="T12" s="1135" t="s">
        <v>90</v>
      </c>
      <c r="U12" s="1135" t="s">
        <v>88</v>
      </c>
      <c r="V12" s="1135" t="s">
        <v>1040</v>
      </c>
      <c r="W12" s="1135" t="s">
        <v>88</v>
      </c>
      <c r="X12" s="1135" t="s">
        <v>1041</v>
      </c>
      <c r="Y12" s="1135" t="s">
        <v>1042</v>
      </c>
      <c r="Z12" s="2201"/>
      <c r="AA12" s="2202"/>
      <c r="AB12" s="1142" t="s">
        <v>1043</v>
      </c>
      <c r="AC12" s="1142" t="s">
        <v>1044</v>
      </c>
      <c r="AD12" s="1142" t="s">
        <v>1043</v>
      </c>
      <c r="AE12" s="1142" t="s">
        <v>1044</v>
      </c>
      <c r="AF12" s="2233"/>
      <c r="AG12" s="1155" t="s">
        <v>1045</v>
      </c>
      <c r="AH12" s="1155" t="s">
        <v>1046</v>
      </c>
      <c r="AI12" s="2233"/>
      <c r="AJ12" s="1155" t="s">
        <v>1045</v>
      </c>
      <c r="AK12" s="1155" t="s">
        <v>1046</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1047</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85</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542148-8D8B-2B58-0328-25F3425D1F68}"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9"/>
      <c r="H5" s="2249"/>
      <c r="I5" s="2249"/>
      <c r="J5" s="2249"/>
      <c r="W5" s="1156">
        <v>26</v>
      </c>
    </row>
    <row customHeight="1" ht="10.5">
      <c r="F6" s="2177" t="str">
        <f>IF(org=0,"Не определено",org)</f>
        <v>КГУП "Примтеплоэнерго"</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333</v>
      </c>
      <c r="G9" s="2421"/>
      <c r="H9" s="2421"/>
      <c r="I9" s="2421"/>
      <c r="J9" s="2421"/>
      <c r="K9" s="1241"/>
      <c r="L9" s="1158"/>
      <c r="M9" s="1158"/>
      <c r="N9" s="1158"/>
      <c r="O9" s="1158"/>
      <c r="P9" s="1158"/>
      <c r="Q9" s="1158"/>
      <c r="R9" s="1158"/>
      <c r="S9" s="1158"/>
      <c r="T9" s="1158"/>
      <c r="U9" s="1158"/>
      <c r="V9" s="1158"/>
      <c r="W9" s="1156">
        <v>10</v>
      </c>
    </row>
    <row customHeight="1" ht="25.2">
      <c r="E10" s="1158"/>
      <c r="F10" s="2424" t="s">
        <v>91</v>
      </c>
      <c r="G10" s="2429" t="s">
        <v>1048</v>
      </c>
      <c r="H10" s="2427" t="s">
        <v>1049</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1050</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1051</v>
      </c>
      <c r="G14" s="2422" t="s">
        <v>1052</v>
      </c>
      <c r="H14" s="2422"/>
      <c r="I14" s="2422"/>
      <c r="J14" s="2422"/>
      <c r="K14" s="1235"/>
      <c r="W14" s="1156">
        <v>11</v>
      </c>
    </row>
    <row customHeight="1" ht="11.549999999999999">
      <c r="F15" s="1231">
        <v>1</v>
      </c>
      <c r="G15" s="691" t="s">
        <v>1053</v>
      </c>
      <c r="H15" s="1237">
        <f>SUM(I15:J15)</f>
        <v>0</v>
      </c>
      <c r="I15" s="1237">
        <f>SUM(I16:I27)</f>
        <v>0</v>
      </c>
      <c r="J15" s="1226"/>
      <c r="K15" s="1235"/>
      <c r="W15" s="1156">
        <v>11</v>
      </c>
    </row>
    <row customHeight="1" ht="24">
      <c r="F16" s="1231" t="s">
        <v>1054</v>
      </c>
      <c r="G16" s="1238" t="s">
        <v>1055</v>
      </c>
      <c r="H16" s="1237">
        <f>SUM(I16:J16)</f>
        <v>0</v>
      </c>
      <c r="I16" s="1236"/>
      <c r="J16" s="1226"/>
      <c r="K16" s="1235"/>
      <c r="W16" s="1156">
        <v>23</v>
      </c>
    </row>
    <row customHeight="1" ht="24">
      <c r="F17" s="1231" t="s">
        <v>1056</v>
      </c>
      <c r="G17" s="1238" t="s">
        <v>1057</v>
      </c>
      <c r="H17" s="1237">
        <f>SUM(I17:J17)</f>
        <v>0</v>
      </c>
      <c r="I17" s="1236"/>
      <c r="J17" s="1226"/>
      <c r="K17" s="1235"/>
      <c r="W17" s="1156">
        <v>23</v>
      </c>
    </row>
    <row customHeight="1" ht="35.699999999999996">
      <c r="F18" s="1231" t="s">
        <v>1058</v>
      </c>
      <c r="G18" s="1238" t="s">
        <v>1059</v>
      </c>
      <c r="H18" s="1237">
        <f>SUM(I18:J18)</f>
        <v>0</v>
      </c>
      <c r="I18" s="1236"/>
      <c r="J18" s="1226"/>
      <c r="K18" s="1235"/>
      <c r="W18" s="1156">
        <v>34</v>
      </c>
    </row>
    <row customHeight="1" ht="35.699999999999996">
      <c r="F19" s="1231" t="s">
        <v>1060</v>
      </c>
      <c r="G19" s="1238" t="s">
        <v>1061</v>
      </c>
      <c r="H19" s="1237">
        <f>SUM(I19:J19)</f>
        <v>0</v>
      </c>
      <c r="I19" s="1236"/>
      <c r="J19" s="1226"/>
      <c r="K19" s="1235"/>
      <c r="W19" s="1156">
        <v>34</v>
      </c>
    </row>
    <row customHeight="1" ht="48.29999999999999">
      <c r="F20" s="1231" t="s">
        <v>1062</v>
      </c>
      <c r="G20" s="1238" t="s">
        <v>1063</v>
      </c>
      <c r="H20" s="1237">
        <f>SUM(I20:J20)</f>
        <v>0</v>
      </c>
      <c r="I20" s="1236"/>
      <c r="J20" s="1226"/>
      <c r="K20" s="1235"/>
      <c r="W20" s="1156">
        <v>46</v>
      </c>
    </row>
    <row customHeight="1" ht="35.699999999999996">
      <c r="F21" s="1231" t="s">
        <v>1064</v>
      </c>
      <c r="G21" s="1238" t="s">
        <v>1065</v>
      </c>
      <c r="H21" s="1237">
        <f>SUM(I21:J21)</f>
        <v>0</v>
      </c>
      <c r="I21" s="1236"/>
      <c r="J21" s="1226"/>
      <c r="K21" s="1235"/>
      <c r="W21" s="1156">
        <v>34</v>
      </c>
    </row>
    <row customHeight="1" ht="35.699999999999996">
      <c r="F22" s="1231" t="s">
        <v>1066</v>
      </c>
      <c r="G22" s="1238" t="s">
        <v>1067</v>
      </c>
      <c r="H22" s="1237">
        <f>SUM(I22:J22)</f>
        <v>0</v>
      </c>
      <c r="I22" s="1236"/>
      <c r="J22" s="1226"/>
      <c r="K22" s="1235"/>
      <c r="W22" s="1156">
        <v>34</v>
      </c>
    </row>
    <row customHeight="1" ht="24">
      <c r="F23" s="1231" t="s">
        <v>1068</v>
      </c>
      <c r="G23" s="1238" t="s">
        <v>1069</v>
      </c>
      <c r="H23" s="1237">
        <f>SUM(I23:J23)</f>
        <v>0</v>
      </c>
      <c r="I23" s="1236"/>
      <c r="J23" s="1226"/>
      <c r="K23" s="1235"/>
      <c r="W23" s="1156">
        <v>23</v>
      </c>
    </row>
    <row customHeight="1" ht="24">
      <c r="F24" s="1231" t="s">
        <v>1070</v>
      </c>
      <c r="G24" s="1238" t="s">
        <v>1071</v>
      </c>
      <c r="H24" s="1237">
        <f>SUM(I24:J24)</f>
        <v>0</v>
      </c>
      <c r="I24" s="1236"/>
      <c r="J24" s="1226"/>
      <c r="K24" s="1235"/>
      <c r="W24" s="1156">
        <v>23</v>
      </c>
    </row>
    <row customHeight="1" ht="35.699999999999996">
      <c r="F25" s="1231" t="s">
        <v>1072</v>
      </c>
      <c r="G25" s="1238" t="s">
        <v>1073</v>
      </c>
      <c r="H25" s="1237">
        <f>SUM(I25:J25)</f>
        <v>0</v>
      </c>
      <c r="I25" s="1236"/>
      <c r="J25" s="1226"/>
      <c r="K25" s="1235"/>
      <c r="W25" s="1156">
        <v>34</v>
      </c>
    </row>
    <row customHeight="1" ht="35.699999999999996">
      <c r="F26" s="1231" t="s">
        <v>1074</v>
      </c>
      <c r="G26" s="1238" t="s">
        <v>1075</v>
      </c>
      <c r="H26" s="1237">
        <f>SUM(I26:J26)</f>
        <v>0</v>
      </c>
      <c r="I26" s="1236"/>
      <c r="J26" s="1226"/>
      <c r="K26" s="1235"/>
      <c r="W26" s="1156">
        <v>34</v>
      </c>
    </row>
    <row customHeight="1" ht="11.549999999999999">
      <c r="F27" s="1231" t="s">
        <v>1076</v>
      </c>
      <c r="G27" s="1238" t="s">
        <v>1077</v>
      </c>
      <c r="H27" s="1237">
        <f>SUM(I27:J27)</f>
        <v>0</v>
      </c>
      <c r="I27" s="1236"/>
      <c r="J27" s="1226"/>
      <c r="K27" s="1235"/>
      <c r="W27" s="1156">
        <v>11</v>
      </c>
    </row>
    <row customHeight="1" ht="11.549999999999999">
      <c r="F28" s="1231">
        <v>2</v>
      </c>
      <c r="G28" s="691" t="s">
        <v>1078</v>
      </c>
      <c r="H28" s="1237">
        <f>SUM(I28:J28)</f>
        <v>0</v>
      </c>
      <c r="I28" s="1237">
        <f>SUM(I29:I31)</f>
        <v>0</v>
      </c>
      <c r="J28" s="1226"/>
      <c r="K28" s="1235"/>
      <c r="W28" s="1156">
        <v>11</v>
      </c>
    </row>
    <row customHeight="1" ht="11.549999999999999">
      <c r="F29" s="1231" t="s">
        <v>741</v>
      </c>
      <c r="G29" s="1238" t="s">
        <v>1079</v>
      </c>
      <c r="H29" s="1237">
        <f>SUM(I29:J29)</f>
        <v>0</v>
      </c>
      <c r="I29" s="1236"/>
      <c r="J29" s="1226"/>
      <c r="K29" s="1235"/>
      <c r="W29" s="1156">
        <v>11</v>
      </c>
    </row>
    <row customHeight="1" ht="11.549999999999999">
      <c r="F30" s="1231" t="s">
        <v>340</v>
      </c>
      <c r="G30" s="1238" t="s">
        <v>1080</v>
      </c>
      <c r="H30" s="1237">
        <f>SUM(I30:J30)</f>
        <v>0</v>
      </c>
      <c r="I30" s="1236"/>
      <c r="J30" s="1226"/>
      <c r="K30" s="1235"/>
      <c r="W30" s="1156">
        <v>11</v>
      </c>
    </row>
    <row customHeight="1" ht="11.549999999999999">
      <c r="F31" s="1231" t="s">
        <v>343</v>
      </c>
      <c r="G31" s="1238" t="s">
        <v>1081</v>
      </c>
      <c r="H31" s="1237">
        <f>SUM(I31:J31)</f>
        <v>0</v>
      </c>
      <c r="I31" s="1236"/>
      <c r="J31" s="1226"/>
      <c r="K31" s="1235"/>
      <c r="W31" s="1156">
        <v>11</v>
      </c>
    </row>
    <row customHeight="1" ht="11.549999999999999">
      <c r="F32" s="1231">
        <v>3</v>
      </c>
      <c r="G32" s="691" t="s">
        <v>1082</v>
      </c>
      <c r="H32" s="1237">
        <f>SUM(I32:J32)</f>
        <v>0</v>
      </c>
      <c r="I32" s="1237">
        <f>SUM(I33:I34)</f>
        <v>0</v>
      </c>
      <c r="J32" s="1226"/>
      <c r="K32" s="1235"/>
      <c r="W32" s="1156">
        <v>11</v>
      </c>
    </row>
    <row customHeight="1" ht="48.29999999999999">
      <c r="F33" s="1231" t="s">
        <v>357</v>
      </c>
      <c r="G33" s="1238" t="s">
        <v>1083</v>
      </c>
      <c r="H33" s="1237">
        <f>SUM(I33:J33)</f>
        <v>0</v>
      </c>
      <c r="I33" s="1236"/>
      <c r="J33" s="1226"/>
      <c r="K33" s="1235"/>
      <c r="W33" s="1156">
        <v>46</v>
      </c>
    </row>
    <row customHeight="1" ht="11.549999999999999">
      <c r="F34" s="1231" t="s">
        <v>365</v>
      </c>
      <c r="G34" s="1238" t="s">
        <v>1084</v>
      </c>
      <c r="H34" s="1237">
        <f>SUM(I34:J34)</f>
        <v>0</v>
      </c>
      <c r="I34" s="1236"/>
      <c r="J34" s="1226"/>
      <c r="K34" s="1235"/>
      <c r="W34" s="1156">
        <v>11</v>
      </c>
    </row>
    <row customHeight="1" ht="11.549999999999999">
      <c r="F35" s="1231">
        <v>4</v>
      </c>
      <c r="G35" s="691" t="s">
        <v>1085</v>
      </c>
      <c r="H35" s="1237">
        <f>SUM(I35:J35)</f>
        <v>0</v>
      </c>
      <c r="I35" s="1236"/>
      <c r="J35" s="1226"/>
      <c r="K35" s="1235"/>
      <c r="W35" s="1156">
        <v>11</v>
      </c>
    </row>
    <row customHeight="1" ht="11.549999999999999">
      <c r="F36" s="1231"/>
      <c r="G36" s="694" t="s">
        <v>1086</v>
      </c>
      <c r="H36" s="1237">
        <f>SUM(I36:J36)</f>
        <v>0</v>
      </c>
      <c r="I36" s="1237">
        <f>SUM(I15,I28,I32,I35)</f>
        <v>0</v>
      </c>
      <c r="J36" s="1226"/>
      <c r="K36" s="1235"/>
      <c r="W36" s="1156">
        <v>11</v>
      </c>
    </row>
    <row customHeight="1" ht="29.25">
      <c r="F37" s="1232" t="s">
        <v>1087</v>
      </c>
      <c r="G37" s="2423" t="s">
        <v>1088</v>
      </c>
      <c r="H37" s="2423"/>
      <c r="I37" s="2423"/>
      <c r="J37" s="2423"/>
      <c r="K37" s="1235"/>
      <c r="W37" s="1156">
        <v>28</v>
      </c>
    </row>
    <row customHeight="1" ht="24">
      <c r="F38" s="1231" t="s">
        <v>124</v>
      </c>
      <c r="G38" s="691" t="s">
        <v>1089</v>
      </c>
      <c r="H38" s="1237">
        <f>SUM(I38:J38)</f>
        <v>0</v>
      </c>
      <c r="I38" s="1237">
        <f>SUM(I39,I44,I47)</f>
        <v>0</v>
      </c>
      <c r="J38" s="1226"/>
      <c r="K38" s="1235"/>
      <c r="W38" s="1156">
        <v>23</v>
      </c>
    </row>
    <row customHeight="1" ht="11.549999999999999">
      <c r="F39" s="1231" t="s">
        <v>1054</v>
      </c>
      <c r="G39" s="1238" t="s">
        <v>1053</v>
      </c>
      <c r="H39" s="1237">
        <f>SUM(I39:J39)</f>
        <v>0</v>
      </c>
      <c r="I39" s="1237">
        <f>SUM(I40:I43)</f>
        <v>0</v>
      </c>
      <c r="J39" s="1226"/>
      <c r="K39" s="1235"/>
      <c r="W39" s="1156">
        <v>11</v>
      </c>
    </row>
    <row customHeight="1" ht="24">
      <c r="F40" s="1231" t="s">
        <v>1090</v>
      </c>
      <c r="G40" s="1239" t="s">
        <v>1091</v>
      </c>
      <c r="H40" s="1237">
        <f>SUM(I40:J40)</f>
        <v>0</v>
      </c>
      <c r="I40" s="1236"/>
      <c r="J40" s="1226"/>
      <c r="K40" s="1235"/>
      <c r="W40" s="1156">
        <v>23</v>
      </c>
    </row>
    <row customHeight="1" ht="11.549999999999999">
      <c r="F41" s="1231" t="s">
        <v>1092</v>
      </c>
      <c r="G41" s="1239" t="s">
        <v>1093</v>
      </c>
      <c r="H41" s="1237">
        <f>SUM(I41:J41)</f>
        <v>0</v>
      </c>
      <c r="I41" s="1236"/>
      <c r="J41" s="1226"/>
      <c r="K41" s="1235"/>
      <c r="W41" s="1156">
        <v>11</v>
      </c>
    </row>
    <row customHeight="1" ht="11.549999999999999">
      <c r="F42" s="1231" t="s">
        <v>1094</v>
      </c>
      <c r="G42" s="1239" t="s">
        <v>1095</v>
      </c>
      <c r="H42" s="1237">
        <f>SUM(I42:J42)</f>
        <v>0</v>
      </c>
      <c r="I42" s="1236"/>
      <c r="J42" s="1226"/>
      <c r="K42" s="1235"/>
      <c r="W42" s="1156">
        <v>11</v>
      </c>
    </row>
    <row customHeight="1" ht="35.699999999999996">
      <c r="F43" s="1231" t="s">
        <v>1096</v>
      </c>
      <c r="G43" s="1239" t="s">
        <v>1097</v>
      </c>
      <c r="H43" s="1237">
        <f>SUM(I43:J43)</f>
        <v>0</v>
      </c>
      <c r="I43" s="1236"/>
      <c r="J43" s="1226"/>
      <c r="K43" s="1235"/>
      <c r="W43" s="1156">
        <v>34</v>
      </c>
    </row>
    <row customHeight="1" ht="11.549999999999999">
      <c r="F44" s="1231" t="s">
        <v>1056</v>
      </c>
      <c r="G44" s="1238" t="s">
        <v>1082</v>
      </c>
      <c r="H44" s="1237">
        <f>SUM(I44:J44)</f>
        <v>0</v>
      </c>
      <c r="I44" s="1237">
        <f>SUM(I45:I46)</f>
        <v>0</v>
      </c>
      <c r="J44" s="1226"/>
      <c r="K44" s="1235"/>
      <c r="W44" s="1156">
        <v>11</v>
      </c>
    </row>
    <row customHeight="1" ht="48.29999999999999">
      <c r="F45" s="1231" t="s">
        <v>1098</v>
      </c>
      <c r="G45" s="1239" t="s">
        <v>1083</v>
      </c>
      <c r="H45" s="1237">
        <f>SUM(I45:J45)</f>
        <v>0</v>
      </c>
      <c r="I45" s="1236"/>
      <c r="J45" s="1226"/>
      <c r="K45" s="1235"/>
      <c r="W45" s="1156">
        <v>46</v>
      </c>
    </row>
    <row customHeight="1" ht="11.549999999999999">
      <c r="F46" s="1231" t="s">
        <v>1099</v>
      </c>
      <c r="G46" s="1239" t="s">
        <v>1084</v>
      </c>
      <c r="H46" s="1237">
        <f>SUM(I46:J46)</f>
        <v>0</v>
      </c>
      <c r="I46" s="1236"/>
      <c r="J46" s="1226"/>
      <c r="K46" s="1235"/>
      <c r="W46" s="1156">
        <v>11</v>
      </c>
    </row>
    <row customHeight="1" ht="11.549999999999999">
      <c r="F47" s="1231" t="s">
        <v>1058</v>
      </c>
      <c r="G47" s="1238" t="s">
        <v>1100</v>
      </c>
      <c r="H47" s="1237">
        <f>SUM(I47:J47)</f>
        <v>0</v>
      </c>
      <c r="I47" s="1236"/>
      <c r="J47" s="1226"/>
      <c r="K47" s="1235"/>
      <c r="W47" s="1156">
        <v>11</v>
      </c>
    </row>
    <row customHeight="1" ht="24">
      <c r="F48" s="1231" t="s">
        <v>107</v>
      </c>
      <c r="G48" s="691" t="s">
        <v>1101</v>
      </c>
      <c r="H48" s="1237">
        <f>SUM(I48:J48)</f>
        <v>0</v>
      </c>
      <c r="I48" s="1237">
        <f>SUM(I49,I54,I57)</f>
        <v>0</v>
      </c>
      <c r="J48" s="1226"/>
      <c r="K48" s="1235"/>
      <c r="W48" s="1156">
        <v>23</v>
      </c>
    </row>
    <row customHeight="1" ht="11.549999999999999">
      <c r="F49" s="1231" t="s">
        <v>741</v>
      </c>
      <c r="G49" s="1238" t="s">
        <v>1053</v>
      </c>
      <c r="H49" s="1237">
        <f>SUM(I49:J49)</f>
        <v>0</v>
      </c>
      <c r="I49" s="1237">
        <f>SUM(I50:I53)</f>
        <v>0</v>
      </c>
      <c r="J49" s="1226"/>
      <c r="K49" s="1235"/>
      <c r="W49" s="1156">
        <v>11</v>
      </c>
    </row>
    <row customHeight="1" ht="24">
      <c r="F50" s="1231" t="s">
        <v>744</v>
      </c>
      <c r="G50" s="1239" t="s">
        <v>1091</v>
      </c>
      <c r="H50" s="1237">
        <f>SUM(I50:J50)</f>
        <v>0</v>
      </c>
      <c r="I50" s="1236"/>
      <c r="J50" s="1226"/>
      <c r="K50" s="1235"/>
      <c r="W50" s="1156">
        <v>23</v>
      </c>
    </row>
    <row customHeight="1" ht="11.549999999999999">
      <c r="F51" s="1231" t="s">
        <v>747</v>
      </c>
      <c r="G51" s="1239" t="s">
        <v>1093</v>
      </c>
      <c r="H51" s="1237">
        <f>SUM(I51:J51)</f>
        <v>0</v>
      </c>
      <c r="I51" s="1236"/>
      <c r="J51" s="1226"/>
      <c r="K51" s="1235"/>
      <c r="W51" s="1156">
        <v>11</v>
      </c>
    </row>
    <row customHeight="1" ht="11.549999999999999">
      <c r="F52" s="1231" t="s">
        <v>1102</v>
      </c>
      <c r="G52" s="1239" t="s">
        <v>1095</v>
      </c>
      <c r="H52" s="1237">
        <f>SUM(I52:J52)</f>
        <v>0</v>
      </c>
      <c r="I52" s="1236"/>
      <c r="J52" s="1226"/>
      <c r="K52" s="1235"/>
      <c r="W52" s="1156">
        <v>11</v>
      </c>
    </row>
    <row customHeight="1" ht="35.699999999999996">
      <c r="F53" s="1231" t="s">
        <v>1103</v>
      </c>
      <c r="G53" s="1239" t="s">
        <v>1097</v>
      </c>
      <c r="H53" s="1237">
        <f>SUM(I53:J53)</f>
        <v>0</v>
      </c>
      <c r="I53" s="1236"/>
      <c r="J53" s="1226"/>
      <c r="K53" s="1235"/>
      <c r="W53" s="1156">
        <v>34</v>
      </c>
    </row>
    <row customHeight="1" ht="11.549999999999999">
      <c r="F54" s="1231" t="s">
        <v>340</v>
      </c>
      <c r="G54" s="1238" t="s">
        <v>1082</v>
      </c>
      <c r="H54" s="1237">
        <f>SUM(I54:J54)</f>
        <v>0</v>
      </c>
      <c r="I54" s="1237">
        <f>SUM(I55:I56)</f>
        <v>0</v>
      </c>
      <c r="J54" s="1226"/>
      <c r="K54" s="1235"/>
      <c r="W54" s="1156">
        <v>11</v>
      </c>
    </row>
    <row customHeight="1" ht="48.29999999999999">
      <c r="F55" s="1231" t="s">
        <v>751</v>
      </c>
      <c r="G55" s="1239" t="s">
        <v>1083</v>
      </c>
      <c r="H55" s="1237">
        <f>SUM(I55:J55)</f>
        <v>0</v>
      </c>
      <c r="I55" s="1236"/>
      <c r="J55" s="1226"/>
      <c r="K55" s="1235"/>
      <c r="W55" s="1156">
        <v>46</v>
      </c>
    </row>
    <row customHeight="1" ht="11.549999999999999">
      <c r="F56" s="1231" t="s">
        <v>753</v>
      </c>
      <c r="G56" s="1239" t="s">
        <v>1084</v>
      </c>
      <c r="H56" s="1237">
        <f>SUM(I56:J56)</f>
        <v>0</v>
      </c>
      <c r="I56" s="1236"/>
      <c r="J56" s="1226"/>
      <c r="K56" s="1235"/>
      <c r="W56" s="1156">
        <v>11</v>
      </c>
    </row>
    <row customHeight="1" ht="11.549999999999999">
      <c r="F57" s="1231" t="s">
        <v>343</v>
      </c>
      <c r="G57" s="1238" t="s">
        <v>1100</v>
      </c>
      <c r="H57" s="1237">
        <f>SUM(I57:J57)</f>
        <v>0</v>
      </c>
      <c r="I57" s="1236"/>
      <c r="J57" s="1226"/>
      <c r="K57" s="1235"/>
      <c r="W57" s="1156">
        <v>11</v>
      </c>
    </row>
    <row customHeight="1" ht="11.549999999999999">
      <c r="F58" s="1231"/>
      <c r="G58" s="1240" t="s">
        <v>1086</v>
      </c>
      <c r="H58" s="1237">
        <f>SUM(I58:J58)</f>
        <v>0</v>
      </c>
      <c r="I58" s="1237">
        <f>SUM(I38,I48)</f>
        <v>0</v>
      </c>
      <c r="J58" s="1226"/>
      <c r="K58" s="1235"/>
      <c r="W58" s="1156">
        <v>11</v>
      </c>
    </row>
    <row customHeight="1" ht="10.5" hidden="1">
      <c r="A59" s="1167" t="s">
        <v>85</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589F68-C6D9-AC73-B628-2D9610EDAAA8}"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customWidth="1"/>
    <col min="29" max="71" style="1064" width="0.8515625"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КГУП "Примтеплоэнерго"</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1104</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1105</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333</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91</v>
      </c>
      <c r="G11" s="2206" t="s">
        <v>1106</v>
      </c>
      <c r="H11" s="2438" t="s">
        <v>1107</v>
      </c>
      <c r="I11" s="2438" t="s">
        <v>1108</v>
      </c>
      <c r="J11" s="2439"/>
      <c r="K11" s="2439"/>
      <c r="L11" s="2439"/>
      <c r="M11" s="2439"/>
      <c r="N11" s="2439"/>
      <c r="O11" s="2210" t="s">
        <v>1109</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1109</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1109</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1110</v>
      </c>
      <c r="P12" s="2210"/>
      <c r="Q12" s="2210"/>
      <c r="R12" s="2210"/>
      <c r="S12" s="2210" t="s">
        <v>1111</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1112</v>
      </c>
      <c r="BU12" s="2388"/>
      <c r="BV12" s="2388"/>
      <c r="BW12" s="2434"/>
      <c r="BX12" s="2387" t="s">
        <v>1113</v>
      </c>
      <c r="BY12" s="2388"/>
      <c r="BZ12" s="2388"/>
      <c r="CA12" s="2434"/>
      <c r="CB12" s="2387" t="s">
        <v>1114</v>
      </c>
      <c r="CC12" s="2434"/>
      <c r="CD12" s="2387" t="s">
        <v>1115</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1116</v>
      </c>
      <c r="CZ12" s="2388"/>
      <c r="DA12" s="2388"/>
      <c r="DB12" s="2388"/>
      <c r="DC12" s="2388"/>
      <c r="DD12" s="2434"/>
      <c r="DE12" s="2387" t="s">
        <v>1117</v>
      </c>
      <c r="DF12" s="2434"/>
      <c r="DG12" s="2387" t="s">
        <v>1115</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1118</v>
      </c>
      <c r="P13" s="2210"/>
      <c r="Q13" s="2210"/>
      <c r="R13" s="2210"/>
      <c r="S13" s="2337" t="s">
        <v>1119</v>
      </c>
      <c r="T13" s="2389"/>
      <c r="U13" s="2128" t="s">
        <v>1120</v>
      </c>
      <c r="V13" s="2128"/>
      <c r="W13" s="2128"/>
      <c r="X13" s="2128"/>
      <c r="Y13" s="2128" t="s">
        <v>1121</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1122</v>
      </c>
      <c r="BU13" s="2389"/>
      <c r="BV13" s="2337" t="s">
        <v>1123</v>
      </c>
      <c r="BW13" s="2389"/>
      <c r="BX13" s="2337" t="s">
        <v>1124</v>
      </c>
      <c r="BY13" s="2389"/>
      <c r="BZ13" s="2337" t="s">
        <v>1125</v>
      </c>
      <c r="CA13" s="2389"/>
      <c r="CB13" s="2337" t="s">
        <v>1126</v>
      </c>
      <c r="CC13" s="2389"/>
      <c r="CD13" s="2337" t="s">
        <v>1127</v>
      </c>
      <c r="CE13" s="2389"/>
      <c r="CF13" s="2337" t="s">
        <v>1128</v>
      </c>
      <c r="CG13" s="2389"/>
      <c r="CH13" s="2387" t="s">
        <v>1129</v>
      </c>
      <c r="CI13" s="2388"/>
      <c r="CJ13" s="2388"/>
      <c r="CK13" s="2434"/>
      <c r="CL13" s="2437"/>
      <c r="CM13" s="2435"/>
      <c r="CN13" s="2435"/>
      <c r="CO13" s="2435"/>
      <c r="CP13" s="2435"/>
      <c r="CQ13" s="2435"/>
      <c r="CR13" s="2435"/>
      <c r="CS13" s="2435"/>
      <c r="CT13" s="2435"/>
      <c r="CU13" s="2435"/>
      <c r="CV13" s="2435"/>
      <c r="CW13" s="2435"/>
      <c r="CX13" s="2454"/>
      <c r="CY13" s="2337" t="s">
        <v>1130</v>
      </c>
      <c r="CZ13" s="2389"/>
      <c r="DA13" s="2337" t="s">
        <v>1131</v>
      </c>
      <c r="DB13" s="2389"/>
      <c r="DC13" s="2337" t="s">
        <v>1132</v>
      </c>
      <c r="DD13" s="2389"/>
      <c r="DE13" s="2337" t="s">
        <v>1133</v>
      </c>
      <c r="DF13" s="2389"/>
      <c r="DG13" s="2387" t="s">
        <v>1134</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1135</v>
      </c>
      <c r="P14" s="2389"/>
      <c r="Q14" s="2337" t="s">
        <v>1136</v>
      </c>
      <c r="R14" s="2389"/>
      <c r="S14" s="2338"/>
      <c r="T14" s="2214"/>
      <c r="U14" s="2337" t="s">
        <v>868</v>
      </c>
      <c r="V14" s="2389"/>
      <c r="W14" s="2337" t="s">
        <v>871</v>
      </c>
      <c r="X14" s="2389"/>
      <c r="Y14" s="2337" t="s">
        <v>868</v>
      </c>
      <c r="Z14" s="2389"/>
      <c r="AA14" s="2337" t="s">
        <v>878</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1137</v>
      </c>
      <c r="CI14" s="2389"/>
      <c r="CJ14" s="2337" t="s">
        <v>1138</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1139</v>
      </c>
      <c r="DH14" s="2389"/>
      <c r="DI14" s="2337" t="s">
        <v>1140</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858</v>
      </c>
      <c r="P16" s="2434"/>
      <c r="Q16" s="2387" t="s">
        <v>860</v>
      </c>
      <c r="R16" s="2434"/>
      <c r="S16" s="2387" t="s">
        <v>864</v>
      </c>
      <c r="T16" s="2434"/>
      <c r="U16" s="2387" t="s">
        <v>869</v>
      </c>
      <c r="V16" s="2434"/>
      <c r="W16" s="2387" t="s">
        <v>872</v>
      </c>
      <c r="X16" s="2434"/>
      <c r="Y16" s="2387" t="s">
        <v>876</v>
      </c>
      <c r="Z16" s="2434"/>
      <c r="AA16" s="2387" t="s">
        <v>879</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591</v>
      </c>
      <c r="BU16" s="2434"/>
      <c r="BV16" s="2387" t="s">
        <v>591</v>
      </c>
      <c r="BW16" s="2434"/>
      <c r="BX16" s="2387" t="s">
        <v>591</v>
      </c>
      <c r="BY16" s="2434"/>
      <c r="BZ16" s="2387" t="s">
        <v>591</v>
      </c>
      <c r="CA16" s="2434"/>
      <c r="CB16" s="2387" t="s">
        <v>1141</v>
      </c>
      <c r="CC16" s="2434"/>
      <c r="CD16" s="2387" t="s">
        <v>591</v>
      </c>
      <c r="CE16" s="2434"/>
      <c r="CF16" s="2387" t="s">
        <v>1142</v>
      </c>
      <c r="CG16" s="2434"/>
      <c r="CH16" s="2387" t="s">
        <v>1143</v>
      </c>
      <c r="CI16" s="2434"/>
      <c r="CJ16" s="2387" t="s">
        <v>1143</v>
      </c>
      <c r="CK16" s="2434"/>
      <c r="CL16" s="2437"/>
      <c r="CM16" s="2435"/>
      <c r="CN16" s="2435"/>
      <c r="CO16" s="2435"/>
      <c r="CP16" s="2435"/>
      <c r="CQ16" s="2435"/>
      <c r="CR16" s="2435"/>
      <c r="CS16" s="2435"/>
      <c r="CT16" s="2435"/>
      <c r="CU16" s="2435"/>
      <c r="CV16" s="2435"/>
      <c r="CW16" s="2435"/>
      <c r="CX16" s="2454"/>
      <c r="CY16" s="2337" t="s">
        <v>591</v>
      </c>
      <c r="CZ16" s="2389"/>
      <c r="DA16" s="2337" t="s">
        <v>591</v>
      </c>
      <c r="DB16" s="2389"/>
      <c r="DC16" s="2337" t="s">
        <v>591</v>
      </c>
      <c r="DD16" s="2389"/>
      <c r="DE16" s="2387" t="s">
        <v>1141</v>
      </c>
      <c r="DF16" s="2434"/>
      <c r="DG16" s="2387" t="s">
        <v>1144</v>
      </c>
      <c r="DH16" s="2434"/>
      <c r="DI16" s="2387" t="s">
        <v>1144</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1145</v>
      </c>
      <c r="P17" s="1192" t="s">
        <v>1146</v>
      </c>
      <c r="Q17" s="1192" t="s">
        <v>1145</v>
      </c>
      <c r="R17" s="1192" t="s">
        <v>1146</v>
      </c>
      <c r="S17" s="1192" t="s">
        <v>1145</v>
      </c>
      <c r="T17" s="1192" t="s">
        <v>1146</v>
      </c>
      <c r="U17" s="1192" t="s">
        <v>1145</v>
      </c>
      <c r="V17" s="1192" t="s">
        <v>1146</v>
      </c>
      <c r="W17" s="1192" t="s">
        <v>1145</v>
      </c>
      <c r="X17" s="1192" t="s">
        <v>1146</v>
      </c>
      <c r="Y17" s="1192" t="s">
        <v>1145</v>
      </c>
      <c r="Z17" s="1192" t="s">
        <v>1146</v>
      </c>
      <c r="AA17" s="1192" t="s">
        <v>1145</v>
      </c>
      <c r="AB17" s="1192" t="s">
        <v>1146</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1145</v>
      </c>
      <c r="BU17" s="1192" t="s">
        <v>1146</v>
      </c>
      <c r="BV17" s="1192" t="s">
        <v>1145</v>
      </c>
      <c r="BW17" s="1192" t="s">
        <v>1146</v>
      </c>
      <c r="BX17" s="1192" t="s">
        <v>1145</v>
      </c>
      <c r="BY17" s="1192" t="s">
        <v>1146</v>
      </c>
      <c r="BZ17" s="1192" t="s">
        <v>1145</v>
      </c>
      <c r="CA17" s="1192" t="s">
        <v>1146</v>
      </c>
      <c r="CB17" s="1192" t="s">
        <v>1145</v>
      </c>
      <c r="CC17" s="1192" t="s">
        <v>1146</v>
      </c>
      <c r="CD17" s="1192" t="s">
        <v>1145</v>
      </c>
      <c r="CE17" s="1192" t="s">
        <v>1146</v>
      </c>
      <c r="CF17" s="1192" t="s">
        <v>1145</v>
      </c>
      <c r="CG17" s="1192" t="s">
        <v>1146</v>
      </c>
      <c r="CH17" s="1192" t="s">
        <v>1145</v>
      </c>
      <c r="CI17" s="1192" t="s">
        <v>1146</v>
      </c>
      <c r="CJ17" s="1192" t="s">
        <v>1145</v>
      </c>
      <c r="CK17" s="1192" t="s">
        <v>1146</v>
      </c>
      <c r="CL17" s="2437"/>
      <c r="CM17" s="2435"/>
      <c r="CN17" s="2435"/>
      <c r="CO17" s="2435"/>
      <c r="CP17" s="2435"/>
      <c r="CQ17" s="2435"/>
      <c r="CR17" s="2435"/>
      <c r="CS17" s="2435"/>
      <c r="CT17" s="2435"/>
      <c r="CU17" s="2435"/>
      <c r="CV17" s="2435"/>
      <c r="CW17" s="2435"/>
      <c r="CX17" s="2454"/>
      <c r="CY17" s="1192" t="s">
        <v>1145</v>
      </c>
      <c r="CZ17" s="1192" t="s">
        <v>1146</v>
      </c>
      <c r="DA17" s="1192" t="s">
        <v>1145</v>
      </c>
      <c r="DB17" s="1192" t="s">
        <v>1146</v>
      </c>
      <c r="DC17" s="1192" t="s">
        <v>1145</v>
      </c>
      <c r="DD17" s="1192" t="s">
        <v>1146</v>
      </c>
      <c r="DE17" s="1192" t="s">
        <v>1145</v>
      </c>
      <c r="DF17" s="1192" t="s">
        <v>1146</v>
      </c>
      <c r="DG17" s="1192" t="s">
        <v>1145</v>
      </c>
      <c r="DH17" s="1192" t="s">
        <v>1146</v>
      </c>
      <c r="DI17" s="1192" t="s">
        <v>1145</v>
      </c>
      <c r="DJ17" s="1192" t="s">
        <v>1146</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409</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85</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47EC98-8B78-7D9F-8B88-F2E078E54889}"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108</v>
      </c>
      <c r="D2" s="540"/>
      <c r="E2" s="664"/>
      <c r="F2" s="1762" t="str">
        <f>IF(TEMPLATE_SPHERE="HEAT","Гкал/час","тыс. куб. м/сутки")</f>
        <v>Гкал/час</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8"/>
      <c r="F5" s="2238"/>
      <c r="G5" s="2238"/>
      <c r="H5" s="2238"/>
      <c r="I5" s="538"/>
      <c r="S5" s="506">
        <v>38</v>
      </c>
    </row>
    <row customHeight="1" ht="15.75">
      <c r="C6" s="177"/>
      <c r="D6" s="2177" t="str">
        <f>IF(org=0,"Не определено",org)</f>
        <v>КГУП "Примтеплоэнерго"</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131</v>
      </c>
      <c r="S8" s="506">
        <v>1</v>
      </c>
    </row>
    <row customHeight="1" ht="15.75">
      <c r="C9" s="177"/>
      <c r="D9" s="712"/>
      <c r="E9" s="2368" t="s">
        <v>120</v>
      </c>
      <c r="F9" s="2369"/>
      <c r="G9" s="817" t="str">
        <f>IF(G8="","",INDEX(DIFFERENTIATION_UNMERGE_VD,MATCH(G8,DIFFERENTIATION_ID_DIFF,0)))</f>
        <v/>
      </c>
      <c r="H9" s="817">
        <f>IF(H8="","",INDEX(DIFFERENTIATION_UNMERGE_VD,MATCH(H8,DIFFERENTIATION_ID_DIFF,0)))</f>
        <v>0</v>
      </c>
      <c r="I9" s="2128" t="s">
        <v>334</v>
      </c>
      <c r="S9" s="506">
        <v>15</v>
      </c>
    </row>
    <row s="1636" customFormat="1" customHeight="1" ht="15.75">
      <c r="A10" s="760"/>
      <c r="C10" s="177"/>
      <c r="D10" s="712"/>
      <c r="E10" s="2368" t="s">
        <v>597</v>
      </c>
      <c r="F10" s="2369"/>
      <c r="G10" s="817" t="str">
        <f>IF(G8="","",INDEX(DIFFERENTIATION_UNMERGE_AREA,MATCH(G8,DIFFERENTIATION_ID_DIFF,0)))</f>
        <v/>
      </c>
      <c r="H10" s="817" t="str">
        <f>IF(H8="","",INDEX(DIFFERENTIATION_UNMERGE_AREA,MATCH(H8,DIFFERENTIATION_ID_DIFF,0)))</f>
        <v/>
      </c>
      <c r="I10" s="2128"/>
      <c r="R10" s="676"/>
      <c r="S10" s="759">
        <v>15</v>
      </c>
    </row>
    <row s="1636" customFormat="1" customHeight="1" ht="15.75">
      <c r="A11" s="760"/>
      <c r="C11" s="177"/>
      <c r="D11" s="712"/>
      <c r="E11" s="2368" t="s">
        <v>598</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333</v>
      </c>
      <c r="E12" s="2371"/>
      <c r="F12" s="2371"/>
      <c r="G12" s="888"/>
      <c r="H12" s="888"/>
      <c r="I12" s="2128"/>
      <c r="R12" s="676"/>
      <c r="S12" s="759">
        <v>15</v>
      </c>
    </row>
    <row customHeight="1" ht="35.699999999999996">
      <c r="C13" s="177"/>
      <c r="D13" s="762" t="s">
        <v>91</v>
      </c>
      <c r="E13" s="761" t="s">
        <v>335</v>
      </c>
      <c r="F13" s="761" t="s">
        <v>599</v>
      </c>
      <c r="G13" s="809" t="s">
        <v>336</v>
      </c>
      <c r="H13" s="755" t="s">
        <v>336</v>
      </c>
      <c r="I13" s="2128"/>
      <c r="S13" s="506">
        <v>34</v>
      </c>
    </row>
    <row customHeight="1" ht="15" hidden="1">
      <c r="C14" s="177"/>
      <c r="D14" s="594" t="s">
        <v>124</v>
      </c>
      <c r="E14" s="594" t="s">
        <v>107</v>
      </c>
      <c r="F14" s="594" t="s">
        <v>93</v>
      </c>
      <c r="G14" s="660" t="str">
        <f>G1&amp;".1"</f>
        <v>.1</v>
      </c>
      <c r="H14" s="660" t="str">
        <f>H1&amp;".1"</f>
        <v>4.1</v>
      </c>
      <c r="I14" s="290"/>
      <c r="S14" s="506">
        <v>0</v>
      </c>
    </row>
    <row customHeight="1" ht="15.75">
      <c r="A15" s="506"/>
      <c r="C15" s="527"/>
      <c r="D15" s="522">
        <v>1</v>
      </c>
      <c r="E15" s="1931" t="str">
        <f>TP_P_A</f>
        <v>Количество поданных заявок</v>
      </c>
      <c r="F15" s="522" t="s">
        <v>1147</v>
      </c>
      <c r="G15" s="686"/>
      <c r="H15" s="686"/>
      <c r="I15" s="20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6">
        <v>15</v>
      </c>
    </row>
    <row customHeight="1" ht="15.75">
      <c r="A16" s="506"/>
      <c r="C16" s="527"/>
      <c r="D16" s="522">
        <v>2</v>
      </c>
      <c r="E16" s="1931" t="str">
        <f>TP_P_B</f>
        <v>Количество рассмотренных заявок</v>
      </c>
      <c r="F16" s="522" t="s">
        <v>1147</v>
      </c>
      <c r="G16" s="686"/>
      <c r="H16" s="686"/>
      <c r="I16" s="20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6">
        <v>15</v>
      </c>
    </row>
    <row customHeight="1" ht="77.7">
      <c r="A17" s="506"/>
      <c r="C17" s="527"/>
      <c r="D17" s="522">
        <v>3</v>
      </c>
      <c r="E17" s="193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2" t="s">
        <v>1147</v>
      </c>
      <c r="G17" s="686"/>
      <c r="H17" s="686"/>
      <c r="I17" s="209" t="str">
        <f>TP_P_NOTE_V</f>
        <v>Указывается количество заявок с решением об отказе в течение отчетного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системе теплоснабжения</v>
      </c>
      <c r="F18" s="522" t="s">
        <v>339</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Резерв мощности источников тепловой энергии, входящих в систему теплоснабжения, в течение одного квартала, в том числе:</v>
      </c>
      <c r="F19" s="522" t="str">
        <f>IF(TEMPLATE_SPHERE="HEAT","Гкал/час","тыс. куб. м/сутки")</f>
        <v>Гкал/час</v>
      </c>
      <c r="G19" s="688">
        <f>SUM(G20:G22)</f>
        <v>0</v>
      </c>
      <c r="H19" s="688">
        <f>SUM(H20:H22)</f>
        <v>0</v>
      </c>
      <c r="I19" s="209"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6">
        <v>57</v>
      </c>
    </row>
    <row customHeight="1" ht="15" hidden="1">
      <c r="D20" s="510" t="s">
        <v>1148</v>
      </c>
      <c r="E20" s="689"/>
      <c r="F20" s="510"/>
      <c r="G20" s="510"/>
      <c r="H20" s="510"/>
      <c r="I20" s="1764"/>
      <c r="S20" s="506">
        <v>0</v>
      </c>
    </row>
    <row customHeight="1" ht="29.25">
      <c r="C21" s="452"/>
      <c r="D21" s="540" t="s">
        <v>346</v>
      </c>
      <c r="E21" s="671"/>
      <c r="F21" s="1762" t="str">
        <f>IF(TEMPLATE_SPHERE="HEAT","Гкал/час","тыс. куб. м/сутки")</f>
        <v>Гкал/час</v>
      </c>
      <c r="G21" s="681"/>
      <c r="H21" s="681"/>
      <c r="I21" s="217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6">
        <v>28</v>
      </c>
    </row>
    <row customHeight="1" ht="15.75">
      <c r="A22" s="506"/>
      <c r="C22" s="506"/>
      <c r="D22" s="348"/>
      <c r="E22" s="581" t="s">
        <v>1149</v>
      </c>
      <c r="F22" s="573"/>
      <c r="G22" s="573"/>
      <c r="H22" s="573"/>
      <c r="I22" s="2172"/>
      <c r="R22" s="506"/>
      <c r="S22" s="506">
        <v>15</v>
      </c>
    </row>
    <row customHeight="1" ht="22.5" hidden="1">
      <c r="A23" s="450" t="s">
        <v>85</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77A7E8-9CE8-07D4-0B4D-E15779213E08}"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6"/>
      <c r="F5" s="2456"/>
      <c r="G5" s="2457"/>
      <c r="Q5" s="84">
        <v>28</v>
      </c>
    </row>
    <row s="1636" customFormat="1" customHeight="1" ht="18.75">
      <c r="A6" s="883"/>
      <c r="B6" s="418"/>
      <c r="C6" s="377"/>
      <c r="D6" s="2458" t="str">
        <f>IF(org=0,"Не определено",org)</f>
        <v>КГУП "Примтеплоэнерго"</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333</v>
      </c>
      <c r="E9" s="2210"/>
      <c r="F9" s="2210"/>
      <c r="G9" s="2390" t="s">
        <v>334</v>
      </c>
      <c r="Q9" s="84">
        <v>14</v>
      </c>
    </row>
    <row customHeight="1" ht="24">
      <c r="C10" s="97"/>
      <c r="D10" s="106" t="s">
        <v>91</v>
      </c>
      <c r="E10" s="109" t="s">
        <v>335</v>
      </c>
      <c r="F10" s="109" t="s">
        <v>423</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9" t="s">
        <v>339</v>
      </c>
      <c r="G12" s="152"/>
      <c r="Q12" s="84">
        <v>62</v>
      </c>
    </row>
    <row customHeight="1" ht="24">
      <c r="A13" s="193"/>
      <c r="C13" s="97"/>
      <c r="D13" s="148" t="s">
        <v>1054</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339</v>
      </c>
      <c r="G13" s="152"/>
      <c r="Q13" s="84">
        <v>23</v>
      </c>
    </row>
    <row customHeight="1" ht="14.699999999999998">
      <c r="A14" s="193"/>
      <c r="C14" s="97"/>
      <c r="D14" s="148" t="s">
        <v>1090</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1150</v>
      </c>
      <c r="F15" s="202"/>
      <c r="G15" s="2172"/>
      <c r="Q15" s="84">
        <v>15</v>
      </c>
    </row>
    <row customHeight="1" ht="14.699999999999998">
      <c r="A16" s="193"/>
      <c r="C16" s="97"/>
      <c r="D16" s="148" t="s">
        <v>1056</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9" t="s">
        <v>339</v>
      </c>
      <c r="G16" s="338"/>
      <c r="Q16" s="84">
        <v>14</v>
      </c>
    </row>
    <row customHeight="1" ht="14.699999999999998">
      <c r="A17" s="193"/>
      <c r="C17" s="97"/>
      <c r="D17" s="148" t="s">
        <v>1098</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1151</v>
      </c>
      <c r="F18" s="339"/>
      <c r="G18" s="2172"/>
      <c r="I18" s="351"/>
      <c r="J18" s="351"/>
      <c r="Q18" s="343">
        <v>21</v>
      </c>
    </row>
    <row s="1636" customFormat="1" customHeight="1" ht="256.5" hidden="1">
      <c r="A19" s="344"/>
      <c r="B19" s="418"/>
      <c r="C19" s="377"/>
      <c r="D19" s="885" t="s">
        <v>1058</v>
      </c>
      <c r="E19" s="884" t="s">
        <v>1152</v>
      </c>
      <c r="F19" s="386"/>
      <c r="G19" s="338" t="s">
        <v>1153</v>
      </c>
      <c r="I19" s="501"/>
      <c r="J19" s="501"/>
      <c r="Q19" s="759">
        <v>0</v>
      </c>
    </row>
    <row s="1636" customFormat="1" customHeight="1" ht="14.699999999999998">
      <c r="A20" s="344"/>
      <c r="B20" s="147"/>
      <c r="C20" s="308"/>
      <c r="D20" s="886">
        <v>2</v>
      </c>
      <c r="E20" s="331" t="s">
        <v>1154</v>
      </c>
      <c r="F20" s="199" t="s">
        <v>339</v>
      </c>
      <c r="G20" s="338"/>
      <c r="I20" s="351"/>
      <c r="J20" s="351"/>
      <c r="Q20" s="343">
        <v>14</v>
      </c>
    </row>
    <row s="1636" customFormat="1" customHeight="1" ht="18.75" hidden="1">
      <c r="A21" s="344"/>
      <c r="B21" s="147"/>
      <c r="C21" s="308"/>
      <c r="D21" s="334" t="s">
        <v>669</v>
      </c>
      <c r="E21" s="333"/>
      <c r="F21" s="332"/>
      <c r="G21" s="342"/>
      <c r="H21" s="335"/>
      <c r="I21" s="351"/>
      <c r="J21" s="351"/>
      <c r="Q21" s="343">
        <v>0</v>
      </c>
    </row>
    <row customHeight="1" ht="15.75">
      <c r="A22" s="193"/>
      <c r="C22" s="97"/>
      <c r="D22" s="110"/>
      <c r="E22" s="204" t="s">
        <v>355</v>
      </c>
      <c r="F22" s="339"/>
      <c r="G22" s="340"/>
      <c r="Q22" s="84">
        <v>15</v>
      </c>
    </row>
    <row s="1636" customFormat="1" customHeight="1" ht="22.5" hidden="1">
      <c r="A23" s="344"/>
      <c r="B23" s="1161"/>
      <c r="C23" s="377"/>
      <c r="D23" s="1674" t="s">
        <v>107</v>
      </c>
      <c r="E23" s="198" t="s">
        <v>1155</v>
      </c>
      <c r="F23" s="1671" t="s">
        <v>339</v>
      </c>
      <c r="G23" s="346"/>
      <c r="I23" s="1625"/>
      <c r="J23" s="1625"/>
      <c r="Q23" s="1632">
        <v>0</v>
      </c>
    </row>
    <row s="1636" customFormat="1" customHeight="1" ht="14.25" hidden="1">
      <c r="A24" s="344"/>
      <c r="B24" s="1161"/>
      <c r="C24" s="377"/>
      <c r="D24" s="1674" t="s">
        <v>741</v>
      </c>
      <c r="E24" s="1673" t="s">
        <v>1156</v>
      </c>
      <c r="F24" s="1671" t="s">
        <v>339</v>
      </c>
      <c r="G24" s="338"/>
      <c r="I24" s="1625"/>
      <c r="J24" s="1625"/>
      <c r="Q24" s="1632">
        <v>0</v>
      </c>
    </row>
    <row s="1636" customFormat="1" customHeight="1" ht="14.25" hidden="1">
      <c r="A25" s="344"/>
      <c r="B25" s="1161"/>
      <c r="C25" s="377"/>
      <c r="D25" s="1674" t="s">
        <v>744</v>
      </c>
      <c r="E25" s="196"/>
      <c r="F25" s="386"/>
      <c r="G25" s="2170" t="s">
        <v>1157</v>
      </c>
      <c r="I25" s="1625"/>
      <c r="J25" s="1625"/>
      <c r="Q25" s="1632">
        <v>0</v>
      </c>
    </row>
    <row s="1636" customFormat="1" customHeight="1" ht="22.5" hidden="1">
      <c r="A26" s="344"/>
      <c r="B26" s="1161"/>
      <c r="C26" s="377"/>
      <c r="D26" s="348"/>
      <c r="E26" s="350" t="s">
        <v>1158</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85</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42F675-ACB8-7F22-66B8-F0F75A4C5881}"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H22" sqref="H22"/>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108</v>
      </c>
      <c r="D2" s="1674"/>
      <c r="E2" s="200"/>
      <c r="F2" s="1671"/>
      <c r="G2" s="1671" t="s">
        <v>339</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108</v>
      </c>
      <c r="D4" s="1674"/>
      <c r="E4" s="206" t="s">
        <v>1159</v>
      </c>
      <c r="F4" s="1671"/>
      <c r="G4" s="258"/>
      <c r="H4" s="1671" t="s">
        <v>339</v>
      </c>
      <c r="K4" s="1625"/>
      <c r="L4" s="1625"/>
      <c r="M4" s="1632">
        <v>0</v>
      </c>
    </row>
    <row s="1636" customFormat="1" customHeight="1" ht="14.25" hidden="1">
      <c r="A5" s="1363"/>
      <c r="B5" s="1161"/>
      <c r="C5" s="345"/>
      <c r="K5" s="1625"/>
      <c r="L5" s="1625"/>
      <c r="M5" s="1632">
        <v>0</v>
      </c>
    </row>
    <row s="1636" customFormat="1" customHeight="1" ht="18.75" hidden="1">
      <c r="A6" s="1684"/>
      <c r="B6" s="1161"/>
      <c r="C6" s="1731" t="s">
        <v>108</v>
      </c>
      <c r="D6" s="1674"/>
      <c r="E6" s="207" t="s">
        <v>1160</v>
      </c>
      <c r="F6" s="1671"/>
      <c r="G6" s="258"/>
      <c r="H6" s="1671" t="s">
        <v>339</v>
      </c>
      <c r="K6" s="1625"/>
      <c r="L6" s="1625"/>
      <c r="M6" s="1632">
        <v>0</v>
      </c>
    </row>
    <row s="1636" customFormat="1" customHeight="1" ht="14.25" hidden="1">
      <c r="A7" s="1363"/>
      <c r="B7" s="1161"/>
      <c r="C7" s="345"/>
      <c r="K7" s="1625"/>
      <c r="L7" s="1625"/>
      <c r="M7" s="1632">
        <v>0</v>
      </c>
    </row>
    <row s="1636" customFormat="1" customHeight="1" ht="18.75" hidden="1">
      <c r="A8" s="1684"/>
      <c r="B8" s="1161"/>
      <c r="C8" s="1731" t="s">
        <v>108</v>
      </c>
      <c r="D8" s="1674"/>
      <c r="E8" s="207" t="s">
        <v>1161</v>
      </c>
      <c r="F8" s="1671"/>
      <c r="G8" s="258"/>
      <c r="H8" s="1671" t="s">
        <v>339</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108</v>
      </c>
      <c r="D10" s="1674"/>
      <c r="E10" s="207" t="s">
        <v>1162</v>
      </c>
      <c r="F10" s="1671"/>
      <c r="G10" s="1675"/>
      <c r="H10" s="1671" t="s">
        <v>339</v>
      </c>
      <c r="K10" s="1625"/>
      <c r="L10" s="1625" t="s">
        <v>1163</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6"/>
      <c r="F14" s="2456"/>
      <c r="G14" s="2456"/>
      <c r="H14" s="2457"/>
      <c r="J14" s="1632"/>
      <c r="M14" s="84">
        <v>28</v>
      </c>
    </row>
    <row s="1636" customFormat="1" customHeight="1" ht="14.699999999999998">
      <c r="A15" s="1363"/>
      <c r="B15" s="1161"/>
      <c r="C15" s="377"/>
      <c r="D15" s="2458" t="str">
        <f>IF(org=0,"Не определено",org)</f>
        <v>КГУП "Примтеплоэнерго"</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333</v>
      </c>
      <c r="E18" s="2210"/>
      <c r="F18" s="2210"/>
      <c r="G18" s="2210"/>
      <c r="H18" s="2210"/>
      <c r="I18" s="2390" t="s">
        <v>334</v>
      </c>
      <c r="M18" s="84">
        <v>21</v>
      </c>
    </row>
    <row customHeight="1" ht="22.049999999999997">
      <c r="C19" s="97"/>
      <c r="D19" s="106" t="s">
        <v>91</v>
      </c>
      <c r="E19" s="109" t="s">
        <v>335</v>
      </c>
      <c r="F19" s="109"/>
      <c r="G19" s="109" t="s">
        <v>336</v>
      </c>
      <c r="H19" s="109" t="s">
        <v>423</v>
      </c>
      <c r="I19" s="2390"/>
      <c r="M19" s="84">
        <v>21</v>
      </c>
    </row>
    <row customHeight="1" ht="12" hidden="1">
      <c r="C20" s="97"/>
      <c r="D20" s="88"/>
      <c r="E20" s="88"/>
      <c r="F20" s="88"/>
      <c r="G20" s="88"/>
      <c r="H20" s="88"/>
      <c r="I20" s="88"/>
      <c r="M20" s="84">
        <v>0</v>
      </c>
    </row>
    <row customHeight="1" ht="14.699999999999998">
      <c r="A21" s="1684"/>
      <c r="C21" s="97"/>
      <c r="D21" s="148">
        <v>1</v>
      </c>
      <c r="E21" s="2462" t="s">
        <v>1164</v>
      </c>
      <c r="F21" s="2462"/>
      <c r="G21" s="2462"/>
      <c r="H21" s="2462"/>
      <c r="I21" s="209"/>
      <c r="M21" s="84">
        <v>14</v>
      </c>
    </row>
    <row customHeight="1" ht="21">
      <c r="A22" s="1684"/>
      <c r="C22" s="97"/>
      <c r="D22" s="148" t="s">
        <v>1054</v>
      </c>
      <c r="E22" s="195" t="s">
        <v>1165</v>
      </c>
      <c r="F22" s="199"/>
      <c r="G22" s="1738">
        <v>45799.47791666666</v>
      </c>
      <c r="H22" s="199" t="s">
        <v>339</v>
      </c>
      <c r="I22" s="152" t="s">
        <v>1166</v>
      </c>
      <c r="M22" s="84">
        <v>20</v>
      </c>
    </row>
    <row customHeight="1" ht="60">
      <c r="A23" s="1684"/>
      <c r="C23" s="97"/>
      <c r="D23" s="148" t="s">
        <v>1056</v>
      </c>
      <c r="E23" s="195" t="s">
        <v>1167</v>
      </c>
      <c r="F23" s="199"/>
      <c r="G23" s="2823" t="s">
        <v>1168</v>
      </c>
      <c r="H23" s="214"/>
      <c r="I23" s="259" t="s">
        <v>1169</v>
      </c>
      <c r="M23" s="84">
        <v>57</v>
      </c>
    </row>
    <row customHeight="1" ht="15">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9"/>
      <c r="G24" s="199" t="s">
        <v>339</v>
      </c>
      <c r="H24" s="214" t="s">
        <v>1170</v>
      </c>
      <c r="I24" s="260" t="s">
        <v>664</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1"/>
      <c r="G25" s="2461"/>
      <c r="H25" s="2461"/>
      <c r="I25" s="257"/>
      <c r="M25" s="84">
        <v>46</v>
      </c>
    </row>
    <row customHeight="1" ht="15">
      <c r="A26" s="1684"/>
      <c r="C26" s="97"/>
      <c r="D26" s="148" t="s">
        <v>357</v>
      </c>
      <c r="E26" s="200" t="s">
        <v>1171</v>
      </c>
      <c r="F26" s="199"/>
      <c r="G26" s="199" t="s">
        <v>339</v>
      </c>
      <c r="H26" s="214" t="s">
        <v>1170</v>
      </c>
      <c r="I26" s="2170" t="s">
        <v>1172</v>
      </c>
      <c r="M26" s="84">
        <v>14</v>
      </c>
    </row>
    <row customHeight="1" ht="15.75">
      <c r="A27" s="1684" t="s">
        <v>124</v>
      </c>
      <c r="C27" s="97"/>
      <c r="D27" s="110"/>
      <c r="E27" s="204" t="s">
        <v>355</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1"/>
      <c r="G28" s="2461"/>
      <c r="H28" s="2461"/>
      <c r="I28" s="257"/>
      <c r="M28" s="84">
        <v>38</v>
      </c>
    </row>
    <row customHeight="1" ht="21">
      <c r="A29" s="1684"/>
      <c r="C29" s="97"/>
      <c r="D29" s="148" t="s">
        <v>786</v>
      </c>
      <c r="E29" s="206" t="s">
        <v>1159</v>
      </c>
      <c r="F29" s="199"/>
      <c r="G29" s="258" t="s">
        <v>1173</v>
      </c>
      <c r="H29" s="199" t="s">
        <v>339</v>
      </c>
      <c r="I29" s="2170" t="s">
        <v>1174</v>
      </c>
      <c r="M29" s="84">
        <v>20</v>
      </c>
    </row>
    <row customHeight="1" ht="15.75">
      <c r="A30" s="1684" t="s">
        <v>107</v>
      </c>
      <c r="C30" s="97"/>
      <c r="D30" s="110"/>
      <c r="E30" s="204" t="s">
        <v>355</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1"/>
      <c r="G31" s="2461"/>
      <c r="H31" s="2461"/>
      <c r="I31" s="257"/>
      <c r="M31" s="84">
        <v>30</v>
      </c>
    </row>
    <row customHeight="1" ht="27.299999999999997">
      <c r="A32" s="1684"/>
      <c r="C32" s="97"/>
      <c r="D32" s="148" t="s">
        <v>346</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4"/>
      <c r="G32" s="2404"/>
      <c r="H32" s="2404"/>
      <c r="I32" s="257"/>
      <c r="M32" s="84">
        <v>26</v>
      </c>
    </row>
    <row customHeight="1" ht="15">
      <c r="A33" s="1684"/>
      <c r="C33" s="97"/>
      <c r="D33" s="148" t="s">
        <v>1175</v>
      </c>
      <c r="E33" s="207" t="s">
        <v>1160</v>
      </c>
      <c r="F33" s="199"/>
      <c r="G33" s="258" t="s">
        <v>1176</v>
      </c>
      <c r="H33" s="199" t="s">
        <v>339</v>
      </c>
      <c r="I33" s="2170" t="s">
        <v>1177</v>
      </c>
      <c r="M33" s="84">
        <v>14</v>
      </c>
    </row>
    <row customHeight="1" ht="15.75">
      <c r="A34" s="1684" t="s">
        <v>93</v>
      </c>
      <c r="C34" s="97"/>
      <c r="D34" s="110"/>
      <c r="E34" s="205" t="s">
        <v>355</v>
      </c>
      <c r="F34" s="201"/>
      <c r="G34" s="201"/>
      <c r="H34" s="202"/>
      <c r="I34" s="2172"/>
      <c r="M34" s="84">
        <v>15</v>
      </c>
    </row>
    <row customHeight="1" ht="25.2">
      <c r="A35" s="1684"/>
      <c r="C35" s="97"/>
      <c r="D35" s="148" t="s">
        <v>914</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4"/>
      <c r="G35" s="2404"/>
      <c r="H35" s="2404"/>
      <c r="I35" s="257"/>
      <c r="M35" s="84">
        <v>24</v>
      </c>
    </row>
    <row customHeight="1" ht="15">
      <c r="A36" s="1684"/>
      <c r="C36" s="97"/>
      <c r="D36" s="148" t="s">
        <v>1178</v>
      </c>
      <c r="E36" s="207" t="s">
        <v>1161</v>
      </c>
      <c r="F36" s="199"/>
      <c r="G36" s="258" t="s">
        <v>1179</v>
      </c>
      <c r="H36" s="199" t="s">
        <v>339</v>
      </c>
      <c r="I36" s="2144" t="s">
        <v>1180</v>
      </c>
      <c r="M36" s="84">
        <v>14</v>
      </c>
    </row>
    <row customHeight="1" ht="15.75">
      <c r="A37" s="1684" t="s">
        <v>94</v>
      </c>
      <c r="C37" s="97"/>
      <c r="D37" s="110"/>
      <c r="E37" s="205" t="s">
        <v>355</v>
      </c>
      <c r="F37" s="201"/>
      <c r="G37" s="201"/>
      <c r="H37" s="202"/>
      <c r="I37" s="2144"/>
      <c r="M37" s="84">
        <v>15</v>
      </c>
    </row>
    <row customHeight="1" ht="27.299999999999997">
      <c r="A38" s="1684"/>
      <c r="C38" s="97"/>
      <c r="D38" s="148" t="s">
        <v>915</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4"/>
      <c r="G38" s="2404"/>
      <c r="H38" s="2404"/>
      <c r="I38" s="257"/>
      <c r="M38" s="84">
        <v>26</v>
      </c>
    </row>
    <row customHeight="1" ht="15">
      <c r="A39" s="1684"/>
      <c r="C39" s="97"/>
      <c r="D39" s="148" t="s">
        <v>916</v>
      </c>
      <c r="E39" s="207" t="s">
        <v>1162</v>
      </c>
      <c r="F39" s="199"/>
      <c r="G39" s="208" t="s">
        <v>1181</v>
      </c>
      <c r="H39" s="199" t="s">
        <v>339</v>
      </c>
      <c r="I39" s="2170" t="s">
        <v>1182</v>
      </c>
      <c r="L39" s="156" t="s">
        <v>1163</v>
      </c>
      <c r="M39" s="84">
        <v>14</v>
      </c>
    </row>
    <row customHeight="1" ht="15.75">
      <c r="A40" s="1684" t="s">
        <v>125</v>
      </c>
      <c r="C40" s="97"/>
      <c r="D40" s="110"/>
      <c r="E40" s="205" t="s">
        <v>355</v>
      </c>
      <c r="F40" s="201"/>
      <c r="G40" s="201"/>
      <c r="H40" s="202"/>
      <c r="I40" s="2172"/>
      <c r="M40" s="84">
        <v>15</v>
      </c>
    </row>
    <row s="1824" customFormat="1" customHeight="1" ht="3">
      <c r="A41" s="1684"/>
      <c r="K41" s="197"/>
      <c r="L41" s="197"/>
      <c r="M41" s="141">
        <v>3</v>
      </c>
    </row>
    <row customHeight="1" ht="26.25">
      <c r="D42" s="1682" t="s">
        <v>836</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6"/>
      <c r="G42" s="2286"/>
      <c r="H42" s="2286"/>
      <c r="I42" s="2286"/>
      <c r="M42" s="84">
        <v>25</v>
      </c>
    </row>
    <row customHeight="1" ht="22.5" hidden="1">
      <c r="A43" s="1363" t="s">
        <v>85</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hyperlinks>
    <hyperlink ref="G23" r:id="rId2" tooltip="http://primtep.ru/" xr:uid="{C1AA9ABF-4A1E-E0C8-D8D8-2F8F3E4F48A8}"/>
    <hyperlink ref="H23" r:id="rId3" tooltip="https://portal.eias.ru/Portal/DownloadPage.aspx?type=12&amp;guid=d31bd307-a6ef-4383-94a6-994408bd7365" xr:uid="{6C38B7C8-1498-FBA8-15F8-7A460D1DD692}"/>
    <hyperlink ref="H24" r:id="rId4" tooltip="https://portal.eias.ru/Portal/DownloadPage.aspx?type=12&amp;guid=ff5ef654-9518-468c-ad56-892eb9b93493" xr:uid="{10A72B18-BE38-C768-B22E-74C684E32268}"/>
    <hyperlink ref="H26" r:id="rId5" tooltip="https://portal.eias.ru/Portal/DownloadPage.aspx?type=12&amp;guid=ff5ef654-9518-468c-ad56-892eb9b93493" xr:uid="{0C831953-A2C8-774A-60F2-02B248B97BAB}"/>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934D08-B678-BB38-8F48-9C072B9E884C}" mc:Ignorable="x14ac xr xr2 xr3">
  <sheetPr>
    <tabColor theme="6" tint="0.4"/>
  </sheetPr>
  <dimension ref="A1:AH342"/>
  <sheetViews>
    <sheetView showGridLines="0" zoomScale="90" workbookViewId="0">
      <pane xSplit="7" ySplit="21" topLeftCell="H22" activePane="bottomRight" state="frozen"/>
      <selection pane="bottomLeft" activeCell="A22" sqref="A22"/>
      <selection pane="topRight" activeCell="H1" sqref="H1"/>
      <selection pane="bottomRight" activeCell="A301" sqref="A301:AH302"/>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169</v>
      </c>
      <c r="B2" s="1781" t="s">
        <v>170</v>
      </c>
      <c r="C2" s="370"/>
      <c r="D2" s="345"/>
      <c r="E2" s="1032"/>
      <c r="F2" s="1032"/>
      <c r="G2" s="2428" t="str">
        <f>INDEX(PT_DIFFERENTIATION_NTAR,MATCH(B2,PT_DIFFERENTIATION_NTAR_ID,0))</f>
        <v/>
      </c>
      <c r="H2" s="1865"/>
      <c r="I2" s="1740"/>
      <c r="J2" s="1774"/>
      <c r="K2" s="1866"/>
      <c r="L2" s="1865" t="s">
        <v>339</v>
      </c>
      <c r="M2" s="1876"/>
      <c r="N2" s="335"/>
      <c r="O2" s="1625"/>
      <c r="P2" s="1625"/>
      <c r="AH2" s="1632">
        <v>0</v>
      </c>
    </row>
    <row s="1636" customFormat="1" customHeight="1" ht="18.75" hidden="1">
      <c r="A3" s="1781"/>
      <c r="B3" s="1781"/>
      <c r="C3" s="370" t="s">
        <v>1183</v>
      </c>
      <c r="D3" s="345"/>
      <c r="E3" s="1032"/>
      <c r="F3" s="1032"/>
      <c r="G3" s="2428"/>
      <c r="H3" s="1501"/>
      <c r="I3" s="652" t="s">
        <v>1184</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169</v>
      </c>
      <c r="B5" s="1781" t="s">
        <v>170</v>
      </c>
      <c r="C5" s="370"/>
      <c r="D5" s="345"/>
      <c r="E5" s="1032"/>
      <c r="F5" s="1032"/>
      <c r="G5" s="2428" t="str">
        <f>INDEX(PT_DIFFERENTIATION_NTAR,MATCH(B5,PT_DIFFERENTIATION_NTAR_ID,0))</f>
        <v/>
      </c>
      <c r="H5" s="1865"/>
      <c r="I5" s="1740"/>
      <c r="J5" s="1774"/>
      <c r="K5" s="1779"/>
      <c r="L5" s="1865" t="s">
        <v>339</v>
      </c>
      <c r="M5" s="1876"/>
      <c r="N5" s="335"/>
      <c r="O5" s="1625"/>
      <c r="P5" s="1625"/>
      <c r="AH5" s="1632">
        <v>0</v>
      </c>
    </row>
    <row s="1636" customFormat="1" customHeight="1" ht="18.75" hidden="1">
      <c r="A6" s="1781"/>
      <c r="B6" s="1781"/>
      <c r="C6" s="370" t="s">
        <v>1185</v>
      </c>
      <c r="D6" s="345"/>
      <c r="E6" s="1032"/>
      <c r="F6" s="1032"/>
      <c r="G6" s="2428"/>
      <c r="H6" s="1501"/>
      <c r="I6" s="652" t="s">
        <v>1184</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339</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339</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изменении тарифов</v>
      </c>
      <c r="G16" s="2265" t="str">
        <f>IF(TITLE_DATE_PR_CHANGE="",IF(TITLE_DATE_PR="","",TITLE_DATE_PR),TITLE_DATE_PR_CHANGE)</f>
        <v>45777.43633101852</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изменении тарифов</v>
      </c>
      <c r="G17" s="2252" t="str">
        <f>IF(TITLE_NUMBER_PR_CHANGE="",IF(TITLE_NUMBER_PR="","",TITLE_NUMBER_PR),TITLE_NUMBER_PR_CHANGE)</f>
        <v>17-1</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333</v>
      </c>
      <c r="F19" s="2210"/>
      <c r="G19" s="2210"/>
      <c r="H19" s="2210"/>
      <c r="I19" s="2210"/>
      <c r="J19" s="2210"/>
      <c r="K19" s="2210"/>
      <c r="L19" s="2210"/>
      <c r="M19" s="2390" t="s">
        <v>334</v>
      </c>
      <c r="AH19" s="375">
        <v>21</v>
      </c>
    </row>
    <row customHeight="1" ht="22.049999999999997">
      <c r="D20" s="377"/>
      <c r="E20" s="2278" t="s">
        <v>91</v>
      </c>
      <c r="F20" s="2225" t="s">
        <v>136</v>
      </c>
      <c r="G20" s="2225" t="s">
        <v>137</v>
      </c>
      <c r="H20" s="2387" t="s">
        <v>1186</v>
      </c>
      <c r="I20" s="2388"/>
      <c r="J20" s="2434"/>
      <c r="K20" s="2225" t="s">
        <v>336</v>
      </c>
      <c r="L20" s="2225" t="s">
        <v>423</v>
      </c>
      <c r="M20" s="2390"/>
      <c r="AH20" s="375">
        <v>21</v>
      </c>
    </row>
    <row customHeight="1" ht="22.049999999999997">
      <c r="D21" s="377"/>
      <c r="E21" s="2280"/>
      <c r="F21" s="2226"/>
      <c r="G21" s="2226"/>
      <c r="H21" s="2219" t="s">
        <v>1187</v>
      </c>
      <c r="I21" s="2221"/>
      <c r="J21" s="109" t="s">
        <v>1188</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124</v>
      </c>
      <c r="F23" s="2469" t="str">
        <f>"Предлагаемый метод регулирования"&amp;IF(TEMPLATE_SPHERE="HEAT"," в сфере "&amp;TEMPLATE_SPHERE_RUS,"")</f>
        <v>Предлагаемый метод регулирования в сфере теплоснабжения</v>
      </c>
      <c r="G23" s="2470"/>
      <c r="H23" s="2462"/>
      <c r="I23" s="2462"/>
      <c r="J23" s="2462"/>
      <c r="K23" s="2470" t="s">
        <v>339</v>
      </c>
      <c r="L23" s="2462"/>
      <c r="M23" s="1770"/>
      <c r="N23" s="335"/>
      <c r="AH23" s="375">
        <v>19</v>
      </c>
    </row>
    <row customHeight="1" ht="60.75" hidden="1">
      <c r="A24" s="1781" t="s">
        <v>169</v>
      </c>
      <c r="B24" s="1781" t="s">
        <v>170</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339</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1183</v>
      </c>
      <c r="D25" s="2467"/>
      <c r="E25" s="2205"/>
      <c r="F25" s="2471"/>
      <c r="G25" s="2428"/>
      <c r="H25" s="1501"/>
      <c r="I25" s="652" t="s">
        <v>1184</v>
      </c>
      <c r="J25" s="572"/>
      <c r="K25" s="1501"/>
      <c r="L25" s="215"/>
      <c r="M25" s="2171"/>
      <c r="N25" s="335"/>
      <c r="O25" s="1625"/>
      <c r="P25" s="1625"/>
      <c r="AH25" s="1632">
        <v>0</v>
      </c>
    </row>
    <row customHeight="1" ht="0.75" hidden="1">
      <c r="A26" s="1781"/>
      <c r="B26" s="1781"/>
      <c r="C26" s="370" t="s">
        <v>1189</v>
      </c>
      <c r="D26" s="2467"/>
      <c r="E26" s="2205"/>
      <c r="F26" s="2384"/>
      <c r="G26" s="401"/>
      <c r="H26" s="1501"/>
      <c r="I26" s="396"/>
      <c r="J26" s="350"/>
      <c r="K26" s="1501"/>
      <c r="L26" s="202"/>
      <c r="M26" s="2171"/>
      <c r="N26" s="335"/>
      <c r="AH26" s="375">
        <v>0</v>
      </c>
    </row>
    <row s="1636" customFormat="1" customHeight="1" ht="45" hidden="1">
      <c r="A27" s="1781" t="s">
        <v>175</v>
      </c>
      <c r="B27" s="1781" t="s">
        <v>176</v>
      </c>
      <c r="C27" s="370"/>
      <c r="D27" s="2463"/>
      <c r="E27" s="2464"/>
      <c r="F27" s="246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28" t="str">
        <f>INDEX(PT_DIFFERENTIATION_NTAR,MATCH(B27,PT_DIFFERENTIATION_NTAR_ID,0))</f>
        <v/>
      </c>
      <c r="H27" s="1863"/>
      <c r="I27" s="1740"/>
      <c r="J27" s="1774"/>
      <c r="K27" s="1866"/>
      <c r="L27" s="1863" t="s">
        <v>339</v>
      </c>
      <c r="M27" s="2171"/>
      <c r="N27" s="335"/>
      <c r="O27" s="1625"/>
      <c r="P27" s="1625"/>
      <c r="AH27" s="1632">
        <v>0</v>
      </c>
    </row>
    <row s="1636" customFormat="1" customHeight="1" ht="18.75" hidden="1">
      <c r="A28" s="1781"/>
      <c r="B28" s="1781"/>
      <c r="C28" s="370" t="s">
        <v>1183</v>
      </c>
      <c r="D28" s="2463"/>
      <c r="E28" s="2464"/>
      <c r="F28" s="2465"/>
      <c r="G28" s="2428"/>
      <c r="H28" s="1501"/>
      <c r="I28" s="652" t="s">
        <v>1184</v>
      </c>
      <c r="J28" s="572"/>
      <c r="K28" s="1501"/>
      <c r="L28" s="215"/>
      <c r="M28" s="2171"/>
      <c r="N28" s="335"/>
      <c r="O28" s="1625"/>
      <c r="P28" s="1625"/>
      <c r="AH28" s="1632">
        <v>0</v>
      </c>
    </row>
    <row s="1636" customFormat="1" customHeight="1" ht="0.75" hidden="1">
      <c r="A29" s="1781"/>
      <c r="B29" s="1781"/>
      <c r="C29" s="370" t="s">
        <v>1189</v>
      </c>
      <c r="D29" s="2463"/>
      <c r="E29" s="2205"/>
      <c r="F29" s="2384"/>
      <c r="G29" s="401"/>
      <c r="H29" s="1501"/>
      <c r="I29" s="652"/>
      <c r="J29" s="572"/>
      <c r="K29" s="1501"/>
      <c r="L29" s="215"/>
      <c r="M29" s="2171"/>
      <c r="N29" s="335"/>
      <c r="O29" s="1625"/>
      <c r="P29" s="1625"/>
      <c r="AH29" s="1632">
        <v>0</v>
      </c>
    </row>
    <row s="1636" customFormat="1" customHeight="1" ht="45" hidden="1">
      <c r="A30" s="1781" t="s">
        <v>181</v>
      </c>
      <c r="B30" s="1781" t="s">
        <v>182</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339</v>
      </c>
      <c r="M30" s="2171"/>
      <c r="N30" s="335"/>
      <c r="O30" s="1625"/>
      <c r="P30" s="1625"/>
      <c r="AH30" s="1632">
        <v>0</v>
      </c>
    </row>
    <row s="1636" customFormat="1" customHeight="1" ht="18.75" hidden="1">
      <c r="A31" s="1781"/>
      <c r="B31" s="1781"/>
      <c r="C31" s="370" t="s">
        <v>1183</v>
      </c>
      <c r="D31" s="2463"/>
      <c r="E31" s="2205"/>
      <c r="F31" s="2384"/>
      <c r="G31" s="2428"/>
      <c r="H31" s="1501"/>
      <c r="I31" s="652" t="s">
        <v>1184</v>
      </c>
      <c r="J31" s="572"/>
      <c r="K31" s="1501"/>
      <c r="L31" s="215"/>
      <c r="M31" s="2171"/>
      <c r="N31" s="335"/>
      <c r="O31" s="1625"/>
      <c r="P31" s="1625"/>
      <c r="AH31" s="1632">
        <v>0</v>
      </c>
    </row>
    <row s="1636" customFormat="1" customHeight="1" ht="0.75" hidden="1">
      <c r="A32" s="1781"/>
      <c r="B32" s="1781"/>
      <c r="C32" s="370" t="s">
        <v>1189</v>
      </c>
      <c r="D32" s="2463"/>
      <c r="E32" s="2205"/>
      <c r="F32" s="2384"/>
      <c r="G32" s="401"/>
      <c r="H32" s="1501"/>
      <c r="I32" s="652"/>
      <c r="J32" s="572"/>
      <c r="K32" s="1501"/>
      <c r="L32" s="215"/>
      <c r="M32" s="2171"/>
      <c r="N32" s="335"/>
      <c r="O32" s="1625"/>
      <c r="P32" s="1625"/>
      <c r="AH32" s="1632">
        <v>0</v>
      </c>
    </row>
    <row s="1636" customFormat="1" customHeight="1" ht="45" hidden="1">
      <c r="A33" s="1781" t="s">
        <v>187</v>
      </c>
      <c r="B33" s="1781" t="s">
        <v>188</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339</v>
      </c>
      <c r="M33" s="2171"/>
      <c r="N33" s="335"/>
      <c r="O33" s="1625"/>
      <c r="P33" s="1625"/>
      <c r="AH33" s="1632">
        <v>0</v>
      </c>
    </row>
    <row s="1636" customFormat="1" customHeight="1" ht="18.75" hidden="1">
      <c r="A34" s="1781"/>
      <c r="B34" s="1781"/>
      <c r="C34" s="370" t="s">
        <v>1183</v>
      </c>
      <c r="D34" s="2463"/>
      <c r="E34" s="2205"/>
      <c r="F34" s="2384"/>
      <c r="G34" s="2428"/>
      <c r="H34" s="1501"/>
      <c r="I34" s="652" t="s">
        <v>1184</v>
      </c>
      <c r="J34" s="572"/>
      <c r="K34" s="1501"/>
      <c r="L34" s="215"/>
      <c r="M34" s="2171"/>
      <c r="N34" s="335"/>
      <c r="O34" s="1625"/>
      <c r="P34" s="1625"/>
      <c r="AH34" s="1632">
        <v>0</v>
      </c>
    </row>
    <row s="1636" customFormat="1" customHeight="1" ht="0.75" hidden="1">
      <c r="A35" s="1781"/>
      <c r="B35" s="1781"/>
      <c r="C35" s="370" t="s">
        <v>1189</v>
      </c>
      <c r="D35" s="2463"/>
      <c r="E35" s="2205"/>
      <c r="F35" s="2384"/>
      <c r="G35" s="401"/>
      <c r="H35" s="1501"/>
      <c r="I35" s="652"/>
      <c r="J35" s="572"/>
      <c r="K35" s="1501"/>
      <c r="L35" s="215"/>
      <c r="M35" s="2171"/>
      <c r="N35" s="335"/>
      <c r="O35" s="1625"/>
      <c r="P35" s="1625"/>
      <c r="AH35" s="1632">
        <v>0</v>
      </c>
    </row>
    <row s="1636" customFormat="1" customHeight="1" ht="18.75" hidden="1">
      <c r="A36" s="1781" t="s">
        <v>193</v>
      </c>
      <c r="B36" s="1781" t="s">
        <v>194</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339</v>
      </c>
      <c r="M36" s="2171"/>
      <c r="N36" s="335"/>
      <c r="O36" s="1625"/>
      <c r="P36" s="1625"/>
      <c r="AH36" s="1632">
        <v>0</v>
      </c>
    </row>
    <row s="1636" customFormat="1" customHeight="1" ht="18.75" hidden="1">
      <c r="A37" s="1781"/>
      <c r="B37" s="1781"/>
      <c r="C37" s="370" t="s">
        <v>1183</v>
      </c>
      <c r="D37" s="2463"/>
      <c r="E37" s="2205"/>
      <c r="F37" s="2384"/>
      <c r="G37" s="2428"/>
      <c r="H37" s="1501"/>
      <c r="I37" s="652" t="s">
        <v>1184</v>
      </c>
      <c r="J37" s="572"/>
      <c r="K37" s="1501"/>
      <c r="L37" s="215"/>
      <c r="M37" s="2171"/>
      <c r="N37" s="335"/>
      <c r="O37" s="1625"/>
      <c r="P37" s="1625"/>
      <c r="AH37" s="1632">
        <v>0</v>
      </c>
    </row>
    <row s="1636" customFormat="1" customHeight="1" ht="0.75" hidden="1">
      <c r="A38" s="1781"/>
      <c r="B38" s="1781"/>
      <c r="C38" s="370" t="s">
        <v>1189</v>
      </c>
      <c r="D38" s="2463"/>
      <c r="E38" s="2205"/>
      <c r="F38" s="2384"/>
      <c r="G38" s="401"/>
      <c r="H38" s="1501"/>
      <c r="I38" s="652"/>
      <c r="J38" s="572"/>
      <c r="K38" s="1501"/>
      <c r="L38" s="215"/>
      <c r="M38" s="2171"/>
      <c r="N38" s="335"/>
      <c r="O38" s="1625"/>
      <c r="P38" s="1625"/>
      <c r="AH38" s="1632">
        <v>0</v>
      </c>
    </row>
    <row s="1636" customFormat="1" customHeight="1" ht="18.75" hidden="1">
      <c r="A39" s="1781" t="s">
        <v>199</v>
      </c>
      <c r="B39" s="1781" t="s">
        <v>200</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339</v>
      </c>
      <c r="M39" s="2171"/>
      <c r="N39" s="335"/>
      <c r="O39" s="1625"/>
      <c r="P39" s="1625"/>
      <c r="AH39" s="1632">
        <v>0</v>
      </c>
    </row>
    <row s="1636" customFormat="1" customHeight="1" ht="18.75" hidden="1">
      <c r="A40" s="1781"/>
      <c r="B40" s="1781"/>
      <c r="C40" s="370" t="s">
        <v>1183</v>
      </c>
      <c r="D40" s="2463"/>
      <c r="E40" s="2205"/>
      <c r="F40" s="2384"/>
      <c r="G40" s="2428"/>
      <c r="H40" s="1501"/>
      <c r="I40" s="652" t="s">
        <v>1184</v>
      </c>
      <c r="J40" s="572"/>
      <c r="K40" s="1501"/>
      <c r="L40" s="215"/>
      <c r="M40" s="2171"/>
      <c r="N40" s="335"/>
      <c r="O40" s="1625"/>
      <c r="P40" s="1625"/>
      <c r="AH40" s="1632">
        <v>0</v>
      </c>
    </row>
    <row s="1636" customFormat="1" customHeight="1" ht="0.75" hidden="1">
      <c r="A41" s="1781"/>
      <c r="B41" s="1781"/>
      <c r="C41" s="370" t="s">
        <v>1189</v>
      </c>
      <c r="D41" s="2463"/>
      <c r="E41" s="2205"/>
      <c r="F41" s="2384"/>
      <c r="G41" s="401"/>
      <c r="H41" s="1501"/>
      <c r="I41" s="652"/>
      <c r="J41" s="572"/>
      <c r="K41" s="1501"/>
      <c r="L41" s="215"/>
      <c r="M41" s="2171"/>
      <c r="N41" s="335"/>
      <c r="O41" s="1625"/>
      <c r="P41" s="1625"/>
      <c r="AH41" s="1632">
        <v>0</v>
      </c>
    </row>
    <row s="1636" customFormat="1" customHeight="1" ht="18.75" hidden="1">
      <c r="A42" s="1781" t="s">
        <v>205</v>
      </c>
      <c r="B42" s="1781" t="s">
        <v>206</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339</v>
      </c>
      <c r="M42" s="2171"/>
      <c r="N42" s="335"/>
      <c r="O42" s="1625"/>
      <c r="P42" s="1625"/>
      <c r="AH42" s="1632">
        <v>0</v>
      </c>
    </row>
    <row s="1636" customFormat="1" customHeight="1" ht="18.75" hidden="1">
      <c r="A43" s="1781"/>
      <c r="B43" s="1781"/>
      <c r="C43" s="370" t="s">
        <v>1183</v>
      </c>
      <c r="D43" s="2463"/>
      <c r="E43" s="2205"/>
      <c r="F43" s="2384"/>
      <c r="G43" s="2428"/>
      <c r="H43" s="1501"/>
      <c r="I43" s="652" t="s">
        <v>1184</v>
      </c>
      <c r="J43" s="572"/>
      <c r="K43" s="1501"/>
      <c r="L43" s="215"/>
      <c r="M43" s="2171"/>
      <c r="N43" s="335"/>
      <c r="O43" s="1625"/>
      <c r="P43" s="1625"/>
      <c r="AH43" s="1632">
        <v>0</v>
      </c>
    </row>
    <row s="1636" customFormat="1" customHeight="1" ht="0.75" hidden="1">
      <c r="A44" s="1781"/>
      <c r="B44" s="1781"/>
      <c r="C44" s="370" t="s">
        <v>1189</v>
      </c>
      <c r="D44" s="2463"/>
      <c r="E44" s="2205"/>
      <c r="F44" s="2384"/>
      <c r="G44" s="401"/>
      <c r="H44" s="1501"/>
      <c r="I44" s="652"/>
      <c r="J44" s="572"/>
      <c r="K44" s="1501"/>
      <c r="L44" s="215"/>
      <c r="M44" s="2171"/>
      <c r="N44" s="335"/>
      <c r="O44" s="1625"/>
      <c r="P44" s="1625"/>
      <c r="AH44" s="1632">
        <v>0</v>
      </c>
    </row>
    <row s="1636" customFormat="1" customHeight="1" ht="18.75" hidden="1">
      <c r="A45" s="1781" t="s">
        <v>213</v>
      </c>
      <c r="B45" s="1781" t="s">
        <v>214</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Расходы на проведение мероприятий по подключению объектов заявителей</v>
      </c>
      <c r="H45" s="1863"/>
      <c r="I45" s="1740"/>
      <c r="J45" s="1774"/>
      <c r="K45" s="1866"/>
      <c r="L45" s="1863" t="s">
        <v>339</v>
      </c>
      <c r="M45" s="2171"/>
      <c r="N45" s="335"/>
      <c r="O45" s="1625"/>
      <c r="P45" s="1625"/>
      <c r="AH45" s="1632">
        <v>0</v>
      </c>
    </row>
    <row s="1636" customFormat="1" customHeight="1" ht="18.75" hidden="1">
      <c r="A46" s="1781"/>
      <c r="B46" s="1781"/>
      <c r="C46" s="370" t="s">
        <v>1183</v>
      </c>
      <c r="D46" s="2463"/>
      <c r="E46" s="2205"/>
      <c r="F46" s="2384"/>
      <c r="G46" s="2428"/>
      <c r="H46" s="1501"/>
      <c r="I46" s="652" t="s">
        <v>1184</v>
      </c>
      <c r="J46" s="572"/>
      <c r="K46" s="1501"/>
      <c r="L46" s="215"/>
      <c r="M46" s="2171"/>
      <c r="N46" s="335"/>
      <c r="O46" s="1625"/>
      <c r="P46" s="1625"/>
      <c r="AH46" s="1632">
        <v>0</v>
      </c>
    </row>
    <row s="1636" customFormat="1" customHeight="1" ht="18.75">
      <c r="A47" s="1824" t="s">
        <v>213</v>
      </c>
      <c r="B47" s="1824" t="s">
        <v>229</v>
      </c>
      <c r="C47" s="1688"/>
      <c r="D47" s="345"/>
      <c r="E47" s="1032"/>
      <c r="F47" s="1032"/>
      <c r="G47" s="2428" t="str">
        <f>INDEX(PT_DIFFERENTIATION_NTAR,MATCH(B47,PT_DIFFERENTIATION_NTAR_ID,0))</f>
        <v>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 в расчете на единицу мощности подключаемой нагрузки. Подземная бесканальная прокладка до 250 мм</v>
      </c>
      <c r="H47" s="2272"/>
      <c r="I47" s="1740"/>
      <c r="J47" s="1774"/>
      <c r="K47" s="2306"/>
      <c r="L47" s="2272" t="s">
        <v>339</v>
      </c>
      <c r="M47" s="2319"/>
      <c r="N47" s="619"/>
      <c r="O47" s="1625"/>
      <c r="P47" s="1625"/>
      <c r="Q47" s="1636"/>
      <c r="R47" s="1636"/>
      <c r="S47" s="1636"/>
      <c r="T47" s="1636"/>
      <c r="U47" s="1636"/>
      <c r="V47" s="1636"/>
      <c r="W47" s="1636"/>
      <c r="X47" s="1636"/>
      <c r="Y47" s="1636"/>
      <c r="Z47" s="1636"/>
      <c r="AA47" s="1636"/>
      <c r="AB47" s="1636"/>
      <c r="AC47" s="1636"/>
      <c r="AD47" s="1636"/>
      <c r="AE47" s="1636"/>
      <c r="AF47" s="1636"/>
      <c r="AG47" s="1636"/>
      <c r="AH47" s="1636">
        <v>0</v>
      </c>
    </row>
    <row s="1636" customFormat="1" customHeight="1" ht="18.75">
      <c r="A48" s="1824"/>
      <c r="B48" s="1824"/>
      <c r="C48" s="1688" t="s">
        <v>1183</v>
      </c>
      <c r="D48" s="345"/>
      <c r="E48" s="1032"/>
      <c r="F48" s="1032"/>
      <c r="G48" s="2428"/>
      <c r="H48" s="2824"/>
      <c r="I48" s="2825" t="s">
        <v>1184</v>
      </c>
      <c r="J48" s="2826"/>
      <c r="K48" s="2827"/>
      <c r="L48" s="2828"/>
      <c r="M48" s="2319"/>
      <c r="N48" s="619"/>
      <c r="O48" s="1625"/>
      <c r="P48" s="1625"/>
      <c r="Q48" s="1636"/>
      <c r="R48" s="1636"/>
      <c r="S48" s="1636"/>
      <c r="T48" s="1636"/>
      <c r="U48" s="1636"/>
      <c r="V48" s="1636"/>
      <c r="W48" s="1636"/>
      <c r="X48" s="1636"/>
      <c r="Y48" s="1636"/>
      <c r="Z48" s="1636"/>
      <c r="AA48" s="1636"/>
      <c r="AB48" s="1636"/>
      <c r="AC48" s="1636"/>
      <c r="AD48" s="1636"/>
      <c r="AE48" s="1636"/>
      <c r="AF48" s="1636"/>
      <c r="AG48" s="1636"/>
      <c r="AH48" s="1636">
        <v>0</v>
      </c>
    </row>
    <row s="1636" customFormat="1" customHeight="1" ht="0.75" hidden="1">
      <c r="A49" s="1781"/>
      <c r="B49" s="1781"/>
      <c r="C49" s="370" t="s">
        <v>1189</v>
      </c>
      <c r="D49" s="2463"/>
      <c r="E49" s="2205"/>
      <c r="F49" s="2384"/>
      <c r="G49" s="401"/>
      <c r="H49" s="1501"/>
      <c r="I49" s="652"/>
      <c r="J49" s="572"/>
      <c r="K49" s="1501"/>
      <c r="L49" s="215"/>
      <c r="M49" s="2171"/>
      <c r="N49" s="335"/>
      <c r="O49" s="1625"/>
      <c r="P49" s="1625"/>
      <c r="AH49" s="1632">
        <v>0</v>
      </c>
    </row>
    <row s="1636" customFormat="1" customHeight="1" ht="18.75" hidden="1">
      <c r="A50" s="1781" t="s">
        <v>238</v>
      </c>
      <c r="B50" s="1781" t="s">
        <v>239</v>
      </c>
      <c r="C50" s="370"/>
      <c r="D50" s="2463"/>
      <c r="E50" s="2205"/>
      <c r="F50" s="2384" t="str">
        <f>INDEX(PT_DIFFERENTIATION_VTAR,MATCH(A50,PT_DIFFERENTIATION_VTAR_ID,0))</f>
        <v>Плата за подключение (технологическое присоединение) к системе теплоснабжения (индивидуальная)</v>
      </c>
      <c r="G50" s="2428" t="str">
        <f>INDEX(PT_DIFFERENTIATION_NTAR,MATCH(B50,PT_DIFFERENTIATION_NTAR_ID,0))</f>
        <v/>
      </c>
      <c r="H50" s="1990"/>
      <c r="I50" s="1740"/>
      <c r="J50" s="1774"/>
      <c r="K50" s="1866"/>
      <c r="L50" s="1990" t="s">
        <v>339</v>
      </c>
      <c r="M50" s="2171"/>
      <c r="N50" s="335"/>
      <c r="O50" s="1625"/>
      <c r="P50" s="1625"/>
      <c r="AH50" s="1632">
        <v>0</v>
      </c>
    </row>
    <row s="1636" customFormat="1" customHeight="1" ht="18.75" hidden="1">
      <c r="A51" s="1781"/>
      <c r="B51" s="1781"/>
      <c r="C51" s="370" t="s">
        <v>1183</v>
      </c>
      <c r="D51" s="2463"/>
      <c r="E51" s="2205"/>
      <c r="F51" s="2384"/>
      <c r="G51" s="2428"/>
      <c r="H51" s="1501"/>
      <c r="I51" s="652" t="s">
        <v>1184</v>
      </c>
      <c r="J51" s="572"/>
      <c r="K51" s="1501"/>
      <c r="L51" s="215"/>
      <c r="M51" s="2171"/>
      <c r="N51" s="335"/>
      <c r="O51" s="1625"/>
      <c r="P51" s="1625"/>
      <c r="AH51" s="1632">
        <v>0</v>
      </c>
    </row>
    <row s="1636" customFormat="1" customHeight="1" ht="0.75" hidden="1">
      <c r="A52" s="1781"/>
      <c r="B52" s="1781"/>
      <c r="C52" s="370" t="s">
        <v>1189</v>
      </c>
      <c r="D52" s="2463"/>
      <c r="E52" s="2205"/>
      <c r="F52" s="2384"/>
      <c r="G52" s="401"/>
      <c r="H52" s="1501"/>
      <c r="I52" s="652"/>
      <c r="J52" s="572"/>
      <c r="K52" s="1501"/>
      <c r="L52" s="215"/>
      <c r="M52" s="2171"/>
      <c r="N52" s="335"/>
      <c r="O52" s="1625"/>
      <c r="P52" s="1625"/>
      <c r="AH52" s="1632">
        <v>0</v>
      </c>
    </row>
    <row s="1636" customFormat="1" customHeight="1" ht="18.75" hidden="1">
      <c r="A53" s="1781" t="s">
        <v>258</v>
      </c>
      <c r="B53" s="1781" t="s">
        <v>259</v>
      </c>
      <c r="C53" s="370"/>
      <c r="D53" s="2463"/>
      <c r="E53" s="2205"/>
      <c r="F53" s="2384" t="str">
        <f>INDEX(PT_DIFFERENTIATION_VTAR,MATCH(A53,PT_DIFFERENTIATION_VTAR_ID,0))</f>
        <v>Тариф на питьевую воду (питьевое водоснабжение)</v>
      </c>
      <c r="G53" s="2428" t="str">
        <f>INDEX(PT_DIFFERENTIATION_NTAR,MATCH(B53,PT_DIFFERENTIATION_NTAR_ID,0))</f>
        <v/>
      </c>
      <c r="H53" s="1863"/>
      <c r="I53" s="1740"/>
      <c r="J53" s="1774"/>
      <c r="K53" s="1866"/>
      <c r="L53" s="1863" t="s">
        <v>339</v>
      </c>
      <c r="M53" s="2171"/>
      <c r="N53" s="335"/>
      <c r="O53" s="1625"/>
      <c r="P53" s="1625"/>
      <c r="AH53" s="1632">
        <v>0</v>
      </c>
    </row>
    <row s="1636" customFormat="1" customHeight="1" ht="18.75" hidden="1">
      <c r="A54" s="1781"/>
      <c r="B54" s="1781"/>
      <c r="C54" s="370" t="s">
        <v>1183</v>
      </c>
      <c r="D54" s="2463"/>
      <c r="E54" s="2205"/>
      <c r="F54" s="2384"/>
      <c r="G54" s="2428"/>
      <c r="H54" s="1501"/>
      <c r="I54" s="652" t="s">
        <v>1184</v>
      </c>
      <c r="J54" s="572"/>
      <c r="K54" s="1501"/>
      <c r="L54" s="215"/>
      <c r="M54" s="2171"/>
      <c r="N54" s="335"/>
      <c r="O54" s="1625"/>
      <c r="P54" s="1625"/>
      <c r="AH54" s="1632">
        <v>0</v>
      </c>
    </row>
    <row s="1636" customFormat="1" customHeight="1" ht="0.75" hidden="1">
      <c r="A55" s="1781"/>
      <c r="B55" s="1781"/>
      <c r="C55" s="370" t="s">
        <v>1189</v>
      </c>
      <c r="D55" s="2463"/>
      <c r="E55" s="2205"/>
      <c r="F55" s="2384"/>
      <c r="G55" s="401"/>
      <c r="H55" s="1501"/>
      <c r="I55" s="652"/>
      <c r="J55" s="572"/>
      <c r="K55" s="1501"/>
      <c r="L55" s="215"/>
      <c r="M55" s="2171"/>
      <c r="N55" s="335"/>
      <c r="O55" s="1625"/>
      <c r="P55" s="1625"/>
      <c r="AH55" s="1632">
        <v>0</v>
      </c>
    </row>
    <row s="1636" customFormat="1" customHeight="1" ht="18.75" hidden="1">
      <c r="A56" s="1781" t="s">
        <v>263</v>
      </c>
      <c r="B56" s="1781" t="s">
        <v>264</v>
      </c>
      <c r="C56" s="370"/>
      <c r="D56" s="2463"/>
      <c r="E56" s="2205"/>
      <c r="F56" s="2384" t="str">
        <f>INDEX(PT_DIFFERENTIATION_VTAR,MATCH(A56,PT_DIFFERENTIATION_VTAR_ID,0))</f>
        <v>Тариф на техническую воду</v>
      </c>
      <c r="G56" s="2428" t="str">
        <f>INDEX(PT_DIFFERENTIATION_NTAR,MATCH(B56,PT_DIFFERENTIATION_NTAR_ID,0))</f>
        <v/>
      </c>
      <c r="H56" s="1863"/>
      <c r="I56" s="1740"/>
      <c r="J56" s="1774"/>
      <c r="K56" s="1866"/>
      <c r="L56" s="1863" t="s">
        <v>339</v>
      </c>
      <c r="M56" s="2171"/>
      <c r="N56" s="335"/>
      <c r="O56" s="1625"/>
      <c r="P56" s="1625"/>
      <c r="AH56" s="1632">
        <v>0</v>
      </c>
    </row>
    <row s="1636" customFormat="1" customHeight="1" ht="18.75" hidden="1">
      <c r="A57" s="1781"/>
      <c r="B57" s="1781"/>
      <c r="C57" s="370" t="s">
        <v>1183</v>
      </c>
      <c r="D57" s="2463"/>
      <c r="E57" s="2205"/>
      <c r="F57" s="2384"/>
      <c r="G57" s="2428"/>
      <c r="H57" s="1501"/>
      <c r="I57" s="652" t="s">
        <v>1184</v>
      </c>
      <c r="J57" s="572"/>
      <c r="K57" s="1501"/>
      <c r="L57" s="215"/>
      <c r="M57" s="2171"/>
      <c r="N57" s="335"/>
      <c r="O57" s="1625"/>
      <c r="P57" s="1625"/>
      <c r="AH57" s="1632">
        <v>0</v>
      </c>
    </row>
    <row s="1636" customFormat="1" customHeight="1" ht="0.75" hidden="1">
      <c r="A58" s="1781"/>
      <c r="B58" s="1781"/>
      <c r="C58" s="370" t="s">
        <v>1189</v>
      </c>
      <c r="D58" s="2463"/>
      <c r="E58" s="2205"/>
      <c r="F58" s="2384"/>
      <c r="G58" s="401"/>
      <c r="H58" s="1501"/>
      <c r="I58" s="652"/>
      <c r="J58" s="572"/>
      <c r="K58" s="1501"/>
      <c r="L58" s="215"/>
      <c r="M58" s="2171"/>
      <c r="N58" s="335"/>
      <c r="O58" s="1625"/>
      <c r="P58" s="1625"/>
      <c r="AH58" s="1632">
        <v>0</v>
      </c>
    </row>
    <row s="1636" customFormat="1" customHeight="1" ht="18.75" hidden="1">
      <c r="A59" s="1781" t="s">
        <v>268</v>
      </c>
      <c r="B59" s="1781" t="s">
        <v>269</v>
      </c>
      <c r="C59" s="370"/>
      <c r="D59" s="2463"/>
      <c r="E59" s="2205"/>
      <c r="F59" s="2384" t="str">
        <f>INDEX(PT_DIFFERENTIATION_VTAR,MATCH(A59,PT_DIFFERENTIATION_VTAR_ID,0))</f>
        <v>Тариф на транспортировку воды</v>
      </c>
      <c r="G59" s="2428" t="str">
        <f>INDEX(PT_DIFFERENTIATION_NTAR,MATCH(B59,PT_DIFFERENTIATION_NTAR_ID,0))</f>
        <v/>
      </c>
      <c r="H59" s="1863"/>
      <c r="I59" s="1740"/>
      <c r="J59" s="1774"/>
      <c r="K59" s="1866"/>
      <c r="L59" s="1863" t="s">
        <v>339</v>
      </c>
      <c r="M59" s="2171"/>
      <c r="N59" s="335"/>
      <c r="O59" s="1625"/>
      <c r="P59" s="1625"/>
      <c r="AH59" s="1632">
        <v>0</v>
      </c>
    </row>
    <row s="1636" customFormat="1" customHeight="1" ht="18.75" hidden="1">
      <c r="A60" s="1781"/>
      <c r="B60" s="1781"/>
      <c r="C60" s="370" t="s">
        <v>1183</v>
      </c>
      <c r="D60" s="2463"/>
      <c r="E60" s="2205"/>
      <c r="F60" s="2384"/>
      <c r="G60" s="2428"/>
      <c r="H60" s="1501"/>
      <c r="I60" s="652" t="s">
        <v>1184</v>
      </c>
      <c r="J60" s="572"/>
      <c r="K60" s="1501"/>
      <c r="L60" s="215"/>
      <c r="M60" s="2171"/>
      <c r="N60" s="335"/>
      <c r="O60" s="1625"/>
      <c r="P60" s="1625"/>
      <c r="AH60" s="1632">
        <v>0</v>
      </c>
    </row>
    <row s="1636" customFormat="1" customHeight="1" ht="0.75" hidden="1">
      <c r="A61" s="1781"/>
      <c r="B61" s="1781"/>
      <c r="C61" s="370" t="s">
        <v>1189</v>
      </c>
      <c r="D61" s="2463"/>
      <c r="E61" s="2205"/>
      <c r="F61" s="2384"/>
      <c r="G61" s="401"/>
      <c r="H61" s="1501"/>
      <c r="I61" s="652"/>
      <c r="J61" s="572"/>
      <c r="K61" s="1501"/>
      <c r="L61" s="215"/>
      <c r="M61" s="2171"/>
      <c r="N61" s="335"/>
      <c r="O61" s="1625"/>
      <c r="P61" s="1625"/>
      <c r="AH61" s="1632">
        <v>0</v>
      </c>
    </row>
    <row s="1636" customFormat="1" customHeight="1" ht="18.75" hidden="1">
      <c r="A62" s="1781" t="s">
        <v>273</v>
      </c>
      <c r="B62" s="1781" t="s">
        <v>274</v>
      </c>
      <c r="C62" s="370"/>
      <c r="D62" s="2463"/>
      <c r="E62" s="2205"/>
      <c r="F62" s="2384" t="str">
        <f>INDEX(PT_DIFFERENTIATION_VTAR,MATCH(A62,PT_DIFFERENTIATION_VTAR_ID,0))</f>
        <v>Тариф на подвоз воды</v>
      </c>
      <c r="G62" s="2428" t="str">
        <f>INDEX(PT_DIFFERENTIATION_NTAR,MATCH(B62,PT_DIFFERENTIATION_NTAR_ID,0))</f>
        <v/>
      </c>
      <c r="H62" s="1863"/>
      <c r="I62" s="1740"/>
      <c r="J62" s="1774"/>
      <c r="K62" s="1866"/>
      <c r="L62" s="1863" t="s">
        <v>339</v>
      </c>
      <c r="M62" s="2171"/>
      <c r="N62" s="335"/>
      <c r="O62" s="1625"/>
      <c r="P62" s="1625"/>
      <c r="AH62" s="1632">
        <v>0</v>
      </c>
    </row>
    <row s="1636" customFormat="1" customHeight="1" ht="18.75" hidden="1">
      <c r="A63" s="1781"/>
      <c r="B63" s="1781"/>
      <c r="C63" s="370" t="s">
        <v>1183</v>
      </c>
      <c r="D63" s="2463"/>
      <c r="E63" s="2205"/>
      <c r="F63" s="2384"/>
      <c r="G63" s="2428"/>
      <c r="H63" s="1501"/>
      <c r="I63" s="652" t="s">
        <v>1184</v>
      </c>
      <c r="J63" s="572"/>
      <c r="K63" s="1501"/>
      <c r="L63" s="215"/>
      <c r="M63" s="2171"/>
      <c r="N63" s="335"/>
      <c r="O63" s="1625"/>
      <c r="P63" s="1625"/>
      <c r="AH63" s="1632">
        <v>0</v>
      </c>
    </row>
    <row s="1636" customFormat="1" customHeight="1" ht="0.75" hidden="1">
      <c r="A64" s="1781"/>
      <c r="B64" s="1781"/>
      <c r="C64" s="370" t="s">
        <v>1189</v>
      </c>
      <c r="D64" s="2463"/>
      <c r="E64" s="2205"/>
      <c r="F64" s="2384"/>
      <c r="G64" s="401"/>
      <c r="H64" s="1501"/>
      <c r="I64" s="652"/>
      <c r="J64" s="572"/>
      <c r="K64" s="1501"/>
      <c r="L64" s="215"/>
      <c r="M64" s="2171"/>
      <c r="N64" s="335"/>
      <c r="O64" s="1625"/>
      <c r="P64" s="1625"/>
      <c r="AH64" s="1632">
        <v>0</v>
      </c>
    </row>
    <row s="1636" customFormat="1" customHeight="1" ht="18.75" hidden="1">
      <c r="A65" s="1781" t="s">
        <v>278</v>
      </c>
      <c r="B65" s="1781" t="s">
        <v>279</v>
      </c>
      <c r="C65" s="370"/>
      <c r="D65" s="2463"/>
      <c r="E65" s="2205"/>
      <c r="F65" s="2384" t="str">
        <f>INDEX(PT_DIFFERENTIATION_VTAR,MATCH(A65,PT_DIFFERENTIATION_VTAR_ID,0))</f>
        <v>Тариф на подключение (технологическое присоединение) к централизованной системе холодного водоснабжения</v>
      </c>
      <c r="G65" s="2428" t="str">
        <f>INDEX(PT_DIFFERENTIATION_NTAR,MATCH(B65,PT_DIFFERENTIATION_NTAR_ID,0))</f>
        <v/>
      </c>
      <c r="H65" s="1863"/>
      <c r="I65" s="1740"/>
      <c r="J65" s="1774"/>
      <c r="K65" s="1866"/>
      <c r="L65" s="1863" t="s">
        <v>339</v>
      </c>
      <c r="M65" s="2171"/>
      <c r="N65" s="335"/>
      <c r="O65" s="1625"/>
      <c r="P65" s="1625"/>
      <c r="AH65" s="1632">
        <v>0</v>
      </c>
    </row>
    <row s="1636" customFormat="1" customHeight="1" ht="18.75" hidden="1">
      <c r="A66" s="1781"/>
      <c r="B66" s="1781"/>
      <c r="C66" s="370" t="s">
        <v>1183</v>
      </c>
      <c r="D66" s="2463"/>
      <c r="E66" s="2205"/>
      <c r="F66" s="2384"/>
      <c r="G66" s="2428"/>
      <c r="H66" s="1501"/>
      <c r="I66" s="652" t="s">
        <v>1184</v>
      </c>
      <c r="J66" s="572"/>
      <c r="K66" s="1501"/>
      <c r="L66" s="215"/>
      <c r="M66" s="2171"/>
      <c r="N66" s="335"/>
      <c r="O66" s="1625"/>
      <c r="P66" s="1625"/>
      <c r="AH66" s="1632">
        <v>0</v>
      </c>
    </row>
    <row s="1636" customFormat="1" customHeight="1" ht="0.75" hidden="1">
      <c r="A67" s="1781"/>
      <c r="B67" s="1781"/>
      <c r="C67" s="370" t="s">
        <v>1189</v>
      </c>
      <c r="D67" s="2463"/>
      <c r="E67" s="2205"/>
      <c r="F67" s="2384"/>
      <c r="G67" s="401"/>
      <c r="H67" s="1501"/>
      <c r="I67" s="652"/>
      <c r="J67" s="572"/>
      <c r="K67" s="1501"/>
      <c r="L67" s="215"/>
      <c r="M67" s="2171"/>
      <c r="N67" s="335"/>
      <c r="O67" s="1625"/>
      <c r="P67" s="1625"/>
      <c r="AH67" s="1632">
        <v>0</v>
      </c>
    </row>
    <row s="1636" customFormat="1" customHeight="1" ht="18.75" hidden="1">
      <c r="A68" s="1781" t="s">
        <v>283</v>
      </c>
      <c r="B68" s="1781" t="s">
        <v>284</v>
      </c>
      <c r="C68" s="370"/>
      <c r="D68" s="2463"/>
      <c r="E68" s="2205"/>
      <c r="F68" s="2384" t="str">
        <f>INDEX(PT_DIFFERENTIATION_VTAR,MATCH(A68,PT_DIFFERENTIATION_VTAR_ID,0))</f>
        <v>Тариф на горячую воду (горячее водоснабжение)</v>
      </c>
      <c r="G68" s="2428" t="str">
        <f>INDEX(PT_DIFFERENTIATION_NTAR,MATCH(B68,PT_DIFFERENTIATION_NTAR_ID,0))</f>
        <v/>
      </c>
      <c r="H68" s="1863"/>
      <c r="I68" s="1740"/>
      <c r="J68" s="1774"/>
      <c r="K68" s="1866"/>
      <c r="L68" s="1863" t="s">
        <v>339</v>
      </c>
      <c r="M68" s="2171"/>
      <c r="N68" s="335"/>
      <c r="O68" s="1625"/>
      <c r="P68" s="1625"/>
      <c r="AH68" s="1632">
        <v>0</v>
      </c>
    </row>
    <row s="1636" customFormat="1" customHeight="1" ht="18.75" hidden="1">
      <c r="A69" s="1781"/>
      <c r="B69" s="1781"/>
      <c r="C69" s="370" t="s">
        <v>1183</v>
      </c>
      <c r="D69" s="2463"/>
      <c r="E69" s="2205"/>
      <c r="F69" s="2384"/>
      <c r="G69" s="2428"/>
      <c r="H69" s="1501"/>
      <c r="I69" s="652" t="s">
        <v>1184</v>
      </c>
      <c r="J69" s="572"/>
      <c r="K69" s="1501"/>
      <c r="L69" s="215"/>
      <c r="M69" s="2171"/>
      <c r="N69" s="335"/>
      <c r="O69" s="1625"/>
      <c r="P69" s="1625"/>
      <c r="AH69" s="1632">
        <v>0</v>
      </c>
    </row>
    <row s="1636" customFormat="1" customHeight="1" ht="0.75" hidden="1">
      <c r="A70" s="1781"/>
      <c r="B70" s="1781"/>
      <c r="C70" s="370" t="s">
        <v>1189</v>
      </c>
      <c r="D70" s="2463"/>
      <c r="E70" s="2205"/>
      <c r="F70" s="2384"/>
      <c r="G70" s="401"/>
      <c r="H70" s="1501"/>
      <c r="I70" s="652"/>
      <c r="J70" s="572"/>
      <c r="K70" s="1501"/>
      <c r="L70" s="215"/>
      <c r="M70" s="2171"/>
      <c r="N70" s="335"/>
      <c r="O70" s="1625"/>
      <c r="P70" s="1625"/>
      <c r="AH70" s="1632">
        <v>0</v>
      </c>
    </row>
    <row s="1636" customFormat="1" customHeight="1" ht="18.75" hidden="1">
      <c r="A71" s="1781" t="s">
        <v>288</v>
      </c>
      <c r="B71" s="1781" t="s">
        <v>289</v>
      </c>
      <c r="C71" s="370"/>
      <c r="D71" s="2463"/>
      <c r="E71" s="2205"/>
      <c r="F71" s="2384" t="str">
        <f>INDEX(PT_DIFFERENTIATION_VTAR,MATCH(A71,PT_DIFFERENTIATION_VTAR_ID,0))</f>
        <v>Тариф на транспортировку горячей воды</v>
      </c>
      <c r="G71" s="2428" t="str">
        <f>INDEX(PT_DIFFERENTIATION_NTAR,MATCH(B71,PT_DIFFERENTIATION_NTAR_ID,0))</f>
        <v/>
      </c>
      <c r="H71" s="1863"/>
      <c r="I71" s="1740"/>
      <c r="J71" s="1774"/>
      <c r="K71" s="1866"/>
      <c r="L71" s="1863" t="s">
        <v>339</v>
      </c>
      <c r="M71" s="2171"/>
      <c r="N71" s="335"/>
      <c r="O71" s="1625"/>
      <c r="P71" s="1625"/>
      <c r="AH71" s="1632">
        <v>0</v>
      </c>
    </row>
    <row s="1636" customFormat="1" customHeight="1" ht="18.75" hidden="1">
      <c r="A72" s="1781"/>
      <c r="B72" s="1781"/>
      <c r="C72" s="370" t="s">
        <v>1183</v>
      </c>
      <c r="D72" s="2463"/>
      <c r="E72" s="2205"/>
      <c r="F72" s="2384"/>
      <c r="G72" s="2428"/>
      <c r="H72" s="1501"/>
      <c r="I72" s="652" t="s">
        <v>1184</v>
      </c>
      <c r="J72" s="572"/>
      <c r="K72" s="1501"/>
      <c r="L72" s="215"/>
      <c r="M72" s="2171"/>
      <c r="N72" s="335"/>
      <c r="O72" s="1625"/>
      <c r="P72" s="1625"/>
      <c r="AH72" s="1632">
        <v>0</v>
      </c>
    </row>
    <row s="1636" customFormat="1" customHeight="1" ht="0.75" hidden="1">
      <c r="A73" s="1781"/>
      <c r="B73" s="1781"/>
      <c r="C73" s="370" t="s">
        <v>1189</v>
      </c>
      <c r="D73" s="2463"/>
      <c r="E73" s="2205"/>
      <c r="F73" s="2384"/>
      <c r="G73" s="401"/>
      <c r="H73" s="1501"/>
      <c r="I73" s="652"/>
      <c r="J73" s="572"/>
      <c r="K73" s="1501"/>
      <c r="L73" s="215"/>
      <c r="M73" s="2171"/>
      <c r="N73" s="335"/>
      <c r="O73" s="1625"/>
      <c r="P73" s="1625"/>
      <c r="AH73" s="1632">
        <v>0</v>
      </c>
    </row>
    <row s="1636" customFormat="1" customHeight="1" ht="18.75" hidden="1">
      <c r="A74" s="1781" t="s">
        <v>293</v>
      </c>
      <c r="B74" s="1781" t="s">
        <v>294</v>
      </c>
      <c r="C74" s="370"/>
      <c r="D74" s="2463"/>
      <c r="E74" s="2205"/>
      <c r="F74" s="2384" t="str">
        <f>INDEX(PT_DIFFERENTIATION_VTAR,MATCH(A74,PT_DIFFERENTIATION_VTAR_ID,0))</f>
        <v>Тариф на подключение (технологическое присоединение) к централизованной системе горячего водоснабжения</v>
      </c>
      <c r="G74" s="2428" t="str">
        <f>INDEX(PT_DIFFERENTIATION_NTAR,MATCH(B74,PT_DIFFERENTIATION_NTAR_ID,0))</f>
        <v/>
      </c>
      <c r="H74" s="1863"/>
      <c r="I74" s="1740"/>
      <c r="J74" s="1774"/>
      <c r="K74" s="1866"/>
      <c r="L74" s="1863" t="s">
        <v>339</v>
      </c>
      <c r="M74" s="2171"/>
      <c r="N74" s="335"/>
      <c r="O74" s="1625"/>
      <c r="P74" s="1625"/>
      <c r="AH74" s="1632">
        <v>0</v>
      </c>
    </row>
    <row s="1636" customFormat="1" customHeight="1" ht="18.75" hidden="1">
      <c r="A75" s="1781"/>
      <c r="B75" s="1781"/>
      <c r="C75" s="370" t="s">
        <v>1183</v>
      </c>
      <c r="D75" s="2463"/>
      <c r="E75" s="2205"/>
      <c r="F75" s="2384"/>
      <c r="G75" s="2428"/>
      <c r="H75" s="1501"/>
      <c r="I75" s="652" t="s">
        <v>1184</v>
      </c>
      <c r="J75" s="572"/>
      <c r="K75" s="1501"/>
      <c r="L75" s="215"/>
      <c r="M75" s="2171"/>
      <c r="N75" s="335"/>
      <c r="O75" s="1625"/>
      <c r="P75" s="1625"/>
      <c r="AH75" s="1632">
        <v>0</v>
      </c>
    </row>
    <row s="1636" customFormat="1" customHeight="1" ht="0.75" hidden="1">
      <c r="A76" s="1781"/>
      <c r="B76" s="1781"/>
      <c r="C76" s="370" t="s">
        <v>1189</v>
      </c>
      <c r="D76" s="2463"/>
      <c r="E76" s="2205"/>
      <c r="F76" s="2384"/>
      <c r="G76" s="401"/>
      <c r="H76" s="1501"/>
      <c r="I76" s="652"/>
      <c r="J76" s="572"/>
      <c r="K76" s="1501"/>
      <c r="L76" s="215"/>
      <c r="M76" s="2171"/>
      <c r="N76" s="335"/>
      <c r="O76" s="1625"/>
      <c r="P76" s="1625"/>
      <c r="AH76" s="1632">
        <v>0</v>
      </c>
    </row>
    <row s="1636" customFormat="1" customHeight="1" ht="18.75" hidden="1">
      <c r="A77" s="1781" t="s">
        <v>298</v>
      </c>
      <c r="B77" s="1781" t="s">
        <v>299</v>
      </c>
      <c r="C77" s="370"/>
      <c r="D77" s="2463"/>
      <c r="E77" s="2205"/>
      <c r="F77" s="2384" t="str">
        <f>INDEX(PT_DIFFERENTIATION_VTAR,MATCH(A77,PT_DIFFERENTIATION_VTAR_ID,0))</f>
        <v>Тариф на водоотведение</v>
      </c>
      <c r="G77" s="2428" t="str">
        <f>INDEX(PT_DIFFERENTIATION_NTAR,MATCH(B77,PT_DIFFERENTIATION_NTAR_ID,0))</f>
        <v/>
      </c>
      <c r="H77" s="1863"/>
      <c r="I77" s="1740"/>
      <c r="J77" s="1774"/>
      <c r="K77" s="1866"/>
      <c r="L77" s="1863" t="s">
        <v>339</v>
      </c>
      <c r="M77" s="2171"/>
      <c r="N77" s="335"/>
      <c r="O77" s="1625"/>
      <c r="P77" s="1625"/>
      <c r="AH77" s="1632">
        <v>0</v>
      </c>
    </row>
    <row s="1636" customFormat="1" customHeight="1" ht="18.75" hidden="1">
      <c r="A78" s="1781"/>
      <c r="B78" s="1781"/>
      <c r="C78" s="370" t="s">
        <v>1183</v>
      </c>
      <c r="D78" s="2463"/>
      <c r="E78" s="2205"/>
      <c r="F78" s="2384"/>
      <c r="G78" s="2428"/>
      <c r="H78" s="1501"/>
      <c r="I78" s="652" t="s">
        <v>1184</v>
      </c>
      <c r="J78" s="572"/>
      <c r="K78" s="1501"/>
      <c r="L78" s="215"/>
      <c r="M78" s="2171"/>
      <c r="N78" s="335"/>
      <c r="O78" s="1625"/>
      <c r="P78" s="1625"/>
      <c r="AH78" s="1632">
        <v>0</v>
      </c>
    </row>
    <row s="1636" customFormat="1" customHeight="1" ht="0.75" hidden="1">
      <c r="A79" s="1781"/>
      <c r="B79" s="1781"/>
      <c r="C79" s="370" t="s">
        <v>1189</v>
      </c>
      <c r="D79" s="2463"/>
      <c r="E79" s="2205"/>
      <c r="F79" s="2384"/>
      <c r="G79" s="401"/>
      <c r="H79" s="1501"/>
      <c r="I79" s="652"/>
      <c r="J79" s="572"/>
      <c r="K79" s="1501"/>
      <c r="L79" s="215"/>
      <c r="M79" s="2171"/>
      <c r="N79" s="335"/>
      <c r="O79" s="1625"/>
      <c r="P79" s="1625"/>
      <c r="AH79" s="1632">
        <v>0</v>
      </c>
    </row>
    <row s="1636" customFormat="1" customHeight="1" ht="18.75" hidden="1">
      <c r="A80" s="1781" t="s">
        <v>303</v>
      </c>
      <c r="B80" s="1781" t="s">
        <v>304</v>
      </c>
      <c r="C80" s="370"/>
      <c r="D80" s="2463"/>
      <c r="E80" s="2205"/>
      <c r="F80" s="2384" t="str">
        <f>INDEX(PT_DIFFERENTIATION_VTAR,MATCH(A80,PT_DIFFERENTIATION_VTAR_ID,0))</f>
        <v>Тариф на транспортировку сточных вод</v>
      </c>
      <c r="G80" s="2428" t="str">
        <f>INDEX(PT_DIFFERENTIATION_NTAR,MATCH(B80,PT_DIFFERENTIATION_NTAR_ID,0))</f>
        <v/>
      </c>
      <c r="H80" s="1863"/>
      <c r="I80" s="1740"/>
      <c r="J80" s="1774"/>
      <c r="K80" s="1866"/>
      <c r="L80" s="1863" t="s">
        <v>339</v>
      </c>
      <c r="M80" s="2171"/>
      <c r="N80" s="335"/>
      <c r="O80" s="1625"/>
      <c r="P80" s="1625"/>
      <c r="AH80" s="1632">
        <v>0</v>
      </c>
    </row>
    <row s="1636" customFormat="1" customHeight="1" ht="18.75" hidden="1">
      <c r="A81" s="1781"/>
      <c r="B81" s="1781"/>
      <c r="C81" s="370" t="s">
        <v>1183</v>
      </c>
      <c r="D81" s="2463"/>
      <c r="E81" s="2205"/>
      <c r="F81" s="2384"/>
      <c r="G81" s="2428"/>
      <c r="H81" s="1501"/>
      <c r="I81" s="652" t="s">
        <v>1184</v>
      </c>
      <c r="J81" s="572"/>
      <c r="K81" s="1501"/>
      <c r="L81" s="215"/>
      <c r="M81" s="2171"/>
      <c r="N81" s="335"/>
      <c r="O81" s="1625"/>
      <c r="P81" s="1625"/>
      <c r="AH81" s="1632">
        <v>0</v>
      </c>
    </row>
    <row s="1636" customFormat="1" customHeight="1" ht="0.75" hidden="1">
      <c r="A82" s="1781"/>
      <c r="B82" s="1781"/>
      <c r="C82" s="370" t="s">
        <v>1189</v>
      </c>
      <c r="D82" s="2463"/>
      <c r="E82" s="2205"/>
      <c r="F82" s="2384"/>
      <c r="G82" s="401"/>
      <c r="H82" s="1501"/>
      <c r="I82" s="652"/>
      <c r="J82" s="572"/>
      <c r="K82" s="1501"/>
      <c r="L82" s="215"/>
      <c r="M82" s="2171"/>
      <c r="N82" s="335"/>
      <c r="O82" s="1625"/>
      <c r="P82" s="1625"/>
      <c r="AH82" s="1632">
        <v>0</v>
      </c>
    </row>
    <row s="1636" customFormat="1" customHeight="1" ht="18.75" hidden="1">
      <c r="A83" s="1781" t="s">
        <v>308</v>
      </c>
      <c r="B83" s="1781" t="s">
        <v>309</v>
      </c>
      <c r="C83" s="370"/>
      <c r="D83" s="2463"/>
      <c r="E83" s="2205"/>
      <c r="F83" s="2384" t="str">
        <f>INDEX(PT_DIFFERENTIATION_VTAR,MATCH(A83,PT_DIFFERENTIATION_VTAR_ID,0))</f>
        <v>Тариф на подключение (технологическое присоединение) к централизованной системе водоотведения</v>
      </c>
      <c r="G83" s="2428" t="str">
        <f>INDEX(PT_DIFFERENTIATION_NTAR,MATCH(B83,PT_DIFFERENTIATION_NTAR_ID,0))</f>
        <v/>
      </c>
      <c r="H83" s="1863"/>
      <c r="I83" s="1740"/>
      <c r="J83" s="1774"/>
      <c r="K83" s="1866"/>
      <c r="L83" s="1863" t="s">
        <v>339</v>
      </c>
      <c r="M83" s="2171"/>
      <c r="N83" s="335"/>
      <c r="O83" s="1625"/>
      <c r="P83" s="1625"/>
      <c r="AH83" s="1632">
        <v>0</v>
      </c>
    </row>
    <row s="1636" customFormat="1" customHeight="1" ht="18.75" hidden="1">
      <c r="A84" s="1781"/>
      <c r="B84" s="1781"/>
      <c r="C84" s="370" t="s">
        <v>1183</v>
      </c>
      <c r="D84" s="2463"/>
      <c r="E84" s="2205"/>
      <c r="F84" s="2384"/>
      <c r="G84" s="2428"/>
      <c r="H84" s="1501"/>
      <c r="I84" s="652" t="s">
        <v>1184</v>
      </c>
      <c r="J84" s="572"/>
      <c r="K84" s="1501"/>
      <c r="L84" s="215"/>
      <c r="M84" s="2171"/>
      <c r="N84" s="335"/>
      <c r="O84" s="1625"/>
      <c r="P84" s="1625"/>
      <c r="AH84" s="1632">
        <v>0</v>
      </c>
    </row>
    <row s="1636" customFormat="1" customHeight="1" ht="1.05">
      <c r="A85" s="1781"/>
      <c r="B85" s="1781"/>
      <c r="C85" s="370" t="s">
        <v>1189</v>
      </c>
      <c r="D85" s="2463"/>
      <c r="E85" s="2205"/>
      <c r="F85" s="2384"/>
      <c r="G85" s="401"/>
      <c r="H85" s="1501"/>
      <c r="I85" s="652"/>
      <c r="J85" s="572"/>
      <c r="K85" s="1501"/>
      <c r="L85" s="215"/>
      <c r="M85" s="2171"/>
      <c r="N85" s="335"/>
      <c r="O85" s="1625"/>
      <c r="P85" s="1625"/>
      <c r="AH85" s="1632">
        <v>1</v>
      </c>
    </row>
    <row customHeight="1" ht="19.95">
      <c r="A86" s="1781"/>
      <c r="B86" s="1781"/>
      <c r="D86" s="377"/>
      <c r="E86" s="148" t="s">
        <v>107</v>
      </c>
      <c r="F86"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6" s="2461"/>
      <c r="H86" s="2461"/>
      <c r="I86" s="2461"/>
      <c r="J86" s="2461"/>
      <c r="K86" s="2461"/>
      <c r="L86" s="2461"/>
      <c r="M86" s="298"/>
      <c r="N86" s="335"/>
      <c r="AH86" s="375">
        <v>19</v>
      </c>
    </row>
    <row customHeight="1" ht="35.699999999999996">
      <c r="A87" s="1781"/>
      <c r="B87" s="1781"/>
      <c r="D87" s="377"/>
      <c r="E87" s="400"/>
      <c r="F87" s="199" t="s">
        <v>339</v>
      </c>
      <c r="G87" s="199" t="s">
        <v>339</v>
      </c>
      <c r="H87" s="2219" t="s">
        <v>339</v>
      </c>
      <c r="I87" s="2221"/>
      <c r="J87" s="199" t="s">
        <v>339</v>
      </c>
      <c r="K87" s="199" t="s">
        <v>339</v>
      </c>
      <c r="L87" s="402"/>
      <c r="M87" s="346" t="s">
        <v>1190</v>
      </c>
      <c r="N87" s="335"/>
      <c r="AH87" s="375">
        <v>34</v>
      </c>
    </row>
    <row customHeight="1" ht="19.95">
      <c r="A88" s="1781"/>
      <c r="B88" s="1781"/>
      <c r="D88" s="377"/>
      <c r="E88" s="148" t="s">
        <v>93</v>
      </c>
      <c r="F88" s="2461" t="s">
        <v>1191</v>
      </c>
      <c r="G88" s="2461"/>
      <c r="H88" s="2461"/>
      <c r="I88" s="2461"/>
      <c r="J88" s="2461"/>
      <c r="K88" s="2461"/>
      <c r="L88" s="2461"/>
      <c r="M88" s="298"/>
      <c r="N88" s="335"/>
      <c r="AH88" s="375">
        <v>19</v>
      </c>
    </row>
    <row s="1636" customFormat="1" customHeight="1" ht="60.75" hidden="1">
      <c r="A89" s="1781" t="s">
        <v>169</v>
      </c>
      <c r="B89" s="1781" t="s">
        <v>170</v>
      </c>
      <c r="C89" s="370"/>
      <c r="D89" s="2463"/>
      <c r="E89" s="2205"/>
      <c r="F89" s="2384" t="str">
        <f>INDEX(PT_DIFFERENTIATION_VTAR,MATCH(A89,PT_DIFFERENTIATION_VTAR_ID,0))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9" s="2428" t="str">
        <f>INDEX(PT_DIFFERENTIATION_NTAR,MATCH(B89,PT_DIFFERENTIATION_NTAR_ID,0))</f>
        <v/>
      </c>
      <c r="H89" s="1863"/>
      <c r="I89" s="1740"/>
      <c r="J89" s="1774"/>
      <c r="K89" s="1779"/>
      <c r="L89" s="1863" t="s">
        <v>339</v>
      </c>
      <c r="M8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9" s="335"/>
      <c r="O89" s="1625"/>
      <c r="P89" s="1625"/>
      <c r="AH89" s="1632">
        <v>0</v>
      </c>
    </row>
    <row s="1636" customFormat="1" customHeight="1" ht="18.75" hidden="1">
      <c r="A90" s="1781"/>
      <c r="B90" s="1781"/>
      <c r="C90" s="370" t="s">
        <v>1185</v>
      </c>
      <c r="D90" s="2463"/>
      <c r="E90" s="2205"/>
      <c r="F90" s="2384"/>
      <c r="G90" s="2428"/>
      <c r="H90" s="1501"/>
      <c r="I90" s="652" t="s">
        <v>1184</v>
      </c>
      <c r="J90" s="572"/>
      <c r="K90" s="1501"/>
      <c r="L90" s="215"/>
      <c r="M90" s="2171"/>
      <c r="N90" s="335"/>
      <c r="O90" s="1625"/>
      <c r="P90" s="1625"/>
      <c r="AH90" s="1632">
        <v>0</v>
      </c>
    </row>
    <row s="1636" customFormat="1" customHeight="1" ht="0.75" hidden="1">
      <c r="A91" s="1781"/>
      <c r="B91" s="1781"/>
      <c r="C91" s="370" t="s">
        <v>1192</v>
      </c>
      <c r="D91" s="2463"/>
      <c r="E91" s="2205"/>
      <c r="F91" s="2384"/>
      <c r="G91" s="401"/>
      <c r="H91" s="1501"/>
      <c r="I91" s="652"/>
      <c r="J91" s="572"/>
      <c r="K91" s="1501"/>
      <c r="L91" s="215"/>
      <c r="M91" s="2171"/>
      <c r="N91" s="335"/>
      <c r="O91" s="1625"/>
      <c r="P91" s="1625"/>
      <c r="AH91" s="1632">
        <v>0</v>
      </c>
    </row>
    <row s="1636" customFormat="1" customHeight="1" ht="45" hidden="1">
      <c r="A92" s="1781" t="s">
        <v>175</v>
      </c>
      <c r="B92" s="1781" t="s">
        <v>176</v>
      </c>
      <c r="C92" s="370"/>
      <c r="D92" s="2463"/>
      <c r="E92" s="2205"/>
      <c r="F92" s="2384" t="str">
        <f>INDEX(PT_DIFFERENTIATION_VTAR,MATCH(A92,PT_DIFFERENTIATION_VTAR_ID,0))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2" s="2428" t="str">
        <f>INDEX(PT_DIFFERENTIATION_NTAR,MATCH(B92,PT_DIFFERENTIATION_NTAR_ID,0))</f>
        <v/>
      </c>
      <c r="H92" s="1863"/>
      <c r="I92" s="1740"/>
      <c r="J92" s="1774"/>
      <c r="K92" s="1779"/>
      <c r="L92" s="1863" t="s">
        <v>339</v>
      </c>
      <c r="M92" s="2172"/>
      <c r="N92" s="335"/>
      <c r="O92" s="1625"/>
      <c r="P92" s="1625"/>
      <c r="AH92" s="1632">
        <v>0</v>
      </c>
    </row>
    <row s="1636" customFormat="1" customHeight="1" ht="18.75" hidden="1">
      <c r="A93" s="1781"/>
      <c r="B93" s="1781"/>
      <c r="C93" s="370" t="s">
        <v>1185</v>
      </c>
      <c r="D93" s="2463"/>
      <c r="E93" s="2205"/>
      <c r="F93" s="2384"/>
      <c r="G93" s="2428"/>
      <c r="H93" s="1501"/>
      <c r="I93" s="652" t="s">
        <v>1184</v>
      </c>
      <c r="J93" s="572"/>
      <c r="K93" s="1501"/>
      <c r="L93" s="215"/>
      <c r="M93" s="1862"/>
      <c r="N93" s="335"/>
      <c r="O93" s="1625"/>
      <c r="P93" s="1625"/>
      <c r="AH93" s="1632">
        <v>0</v>
      </c>
    </row>
    <row s="1636" customFormat="1" customHeight="1" ht="0.75" hidden="1">
      <c r="A94" s="1781"/>
      <c r="B94" s="1781"/>
      <c r="C94" s="370" t="s">
        <v>1192</v>
      </c>
      <c r="D94" s="2463"/>
      <c r="E94" s="2205"/>
      <c r="F94" s="2384"/>
      <c r="G94" s="401"/>
      <c r="H94" s="1501"/>
      <c r="I94" s="652"/>
      <c r="J94" s="572"/>
      <c r="K94" s="1501"/>
      <c r="L94" s="215"/>
      <c r="M94" s="342"/>
      <c r="N94" s="335"/>
      <c r="O94" s="1625"/>
      <c r="P94" s="1625"/>
      <c r="AH94" s="1632">
        <v>0</v>
      </c>
    </row>
    <row s="1636" customFormat="1" customHeight="1" ht="45" hidden="1">
      <c r="A95" s="1781" t="s">
        <v>181</v>
      </c>
      <c r="B95" s="1781" t="s">
        <v>182</v>
      </c>
      <c r="C95" s="370"/>
      <c r="D95" s="2463"/>
      <c r="E95" s="2205"/>
      <c r="F95" s="2384" t="str">
        <f>INDEX(PT_DIFFERENTIATION_VTAR,MATCH(A95,PT_DIFFERENTIATION_VTAR_ID,0))</f>
        <v>Тарифы на теплоноситель, поставляемый теплоснабжающими организациями потребителям, другим теплоснабжающим организациям</v>
      </c>
      <c r="G95" s="2428" t="str">
        <f>INDEX(PT_DIFFERENTIATION_NTAR,MATCH(B95,PT_DIFFERENTIATION_NTAR_ID,0))</f>
        <v/>
      </c>
      <c r="H95" s="1863"/>
      <c r="I95" s="1740"/>
      <c r="J95" s="1774"/>
      <c r="K95" s="1779"/>
      <c r="L95" s="1863" t="s">
        <v>339</v>
      </c>
      <c r="M95" s="342"/>
      <c r="N95" s="335"/>
      <c r="O95" s="1625"/>
      <c r="P95" s="1625"/>
      <c r="AH95" s="1632">
        <v>0</v>
      </c>
    </row>
    <row s="1636" customFormat="1" customHeight="1" ht="18.75" hidden="1">
      <c r="A96" s="1781"/>
      <c r="B96" s="1781"/>
      <c r="C96" s="370" t="s">
        <v>1185</v>
      </c>
      <c r="D96" s="2463"/>
      <c r="E96" s="2205"/>
      <c r="F96" s="2384"/>
      <c r="G96" s="2428"/>
      <c r="H96" s="1501"/>
      <c r="I96" s="652" t="s">
        <v>1184</v>
      </c>
      <c r="J96" s="572"/>
      <c r="K96" s="1501"/>
      <c r="L96" s="215"/>
      <c r="M96" s="342"/>
      <c r="N96" s="335"/>
      <c r="O96" s="1625"/>
      <c r="P96" s="1625"/>
      <c r="AH96" s="1632">
        <v>0</v>
      </c>
    </row>
    <row s="1636" customFormat="1" customHeight="1" ht="0.75" hidden="1">
      <c r="A97" s="1781"/>
      <c r="B97" s="1781"/>
      <c r="C97" s="370" t="s">
        <v>1192</v>
      </c>
      <c r="D97" s="2463"/>
      <c r="E97" s="2205"/>
      <c r="F97" s="2384"/>
      <c r="G97" s="401"/>
      <c r="H97" s="1501"/>
      <c r="I97" s="652"/>
      <c r="J97" s="572"/>
      <c r="K97" s="1501"/>
      <c r="L97" s="215"/>
      <c r="M97" s="342"/>
      <c r="N97" s="335"/>
      <c r="O97" s="1625"/>
      <c r="P97" s="1625"/>
      <c r="AH97" s="1632">
        <v>0</v>
      </c>
    </row>
    <row s="1636" customFormat="1" customHeight="1" ht="45" hidden="1">
      <c r="A98" s="1781" t="s">
        <v>187</v>
      </c>
      <c r="B98" s="1781" t="s">
        <v>188</v>
      </c>
      <c r="C98" s="370"/>
      <c r="D98" s="2463"/>
      <c r="E98" s="2205"/>
      <c r="F98" s="2384" t="str">
        <f>INDEX(PT_DIFFERENTIATION_VTAR,MATCH(A98,PT_DIFFERENTIATION_VTAR_ID,0))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8" s="2428" t="str">
        <f>INDEX(PT_DIFFERENTIATION_NTAR,MATCH(B98,PT_DIFFERENTIATION_NTAR_ID,0))</f>
        <v/>
      </c>
      <c r="H98" s="1863"/>
      <c r="I98" s="1740"/>
      <c r="J98" s="1774"/>
      <c r="K98" s="1779"/>
      <c r="L98" s="1863" t="s">
        <v>339</v>
      </c>
      <c r="M98" s="342"/>
      <c r="N98" s="335"/>
      <c r="O98" s="1625"/>
      <c r="P98" s="1625"/>
      <c r="AH98" s="1632">
        <v>0</v>
      </c>
    </row>
    <row s="1636" customFormat="1" customHeight="1" ht="18.75" hidden="1">
      <c r="A99" s="1781"/>
      <c r="B99" s="1781"/>
      <c r="C99" s="370" t="s">
        <v>1185</v>
      </c>
      <c r="D99" s="2463"/>
      <c r="E99" s="2205"/>
      <c r="F99" s="2384"/>
      <c r="G99" s="2428"/>
      <c r="H99" s="1501"/>
      <c r="I99" s="652" t="s">
        <v>1184</v>
      </c>
      <c r="J99" s="572"/>
      <c r="K99" s="1501"/>
      <c r="L99" s="215"/>
      <c r="M99" s="342"/>
      <c r="N99" s="335"/>
      <c r="O99" s="1625"/>
      <c r="P99" s="1625"/>
      <c r="AH99" s="1632">
        <v>0</v>
      </c>
    </row>
    <row s="1636" customFormat="1" customHeight="1" ht="0.75" hidden="1">
      <c r="A100" s="1781"/>
      <c r="B100" s="1781"/>
      <c r="C100" s="370" t="s">
        <v>1192</v>
      </c>
      <c r="D100" s="2463"/>
      <c r="E100" s="2205"/>
      <c r="F100" s="2384"/>
      <c r="G100" s="401"/>
      <c r="H100" s="1501"/>
      <c r="I100" s="652"/>
      <c r="J100" s="572"/>
      <c r="K100" s="1501"/>
      <c r="L100" s="215"/>
      <c r="M100" s="342"/>
      <c r="N100" s="335"/>
      <c r="O100" s="1625"/>
      <c r="P100" s="1625"/>
      <c r="AH100" s="1632">
        <v>0</v>
      </c>
    </row>
    <row s="1636" customFormat="1" customHeight="1" ht="18.75" hidden="1">
      <c r="A101" s="1781" t="s">
        <v>193</v>
      </c>
      <c r="B101" s="1781" t="s">
        <v>194</v>
      </c>
      <c r="C101" s="370"/>
      <c r="D101" s="2463"/>
      <c r="E101" s="2205"/>
      <c r="F101" s="2384" t="str">
        <f>INDEX(PT_DIFFERENTIATION_VTAR,MATCH(A101,PT_DIFFERENTIATION_VTAR_ID,0))</f>
        <v>Тарифы на услуги по передаче тепловой энергии</v>
      </c>
      <c r="G101" s="2428" t="str">
        <f>INDEX(PT_DIFFERENTIATION_NTAR,MATCH(B101,PT_DIFFERENTIATION_NTAR_ID,0))</f>
        <v/>
      </c>
      <c r="H101" s="1863"/>
      <c r="I101" s="1740"/>
      <c r="J101" s="1774"/>
      <c r="K101" s="1779"/>
      <c r="L101" s="1863" t="s">
        <v>339</v>
      </c>
      <c r="M101" s="342"/>
      <c r="N101" s="335"/>
      <c r="O101" s="1625"/>
      <c r="P101" s="1625"/>
      <c r="AH101" s="1632">
        <v>0</v>
      </c>
    </row>
    <row s="1636" customFormat="1" customHeight="1" ht="18.75" hidden="1">
      <c r="A102" s="1781"/>
      <c r="B102" s="1781"/>
      <c r="C102" s="370" t="s">
        <v>1185</v>
      </c>
      <c r="D102" s="2463"/>
      <c r="E102" s="2205"/>
      <c r="F102" s="2384"/>
      <c r="G102" s="2428"/>
      <c r="H102" s="1501"/>
      <c r="I102" s="652" t="s">
        <v>1184</v>
      </c>
      <c r="J102" s="572"/>
      <c r="K102" s="1501"/>
      <c r="L102" s="215"/>
      <c r="M102" s="342"/>
      <c r="N102" s="335"/>
      <c r="O102" s="1625"/>
      <c r="P102" s="1625"/>
      <c r="AH102" s="1632">
        <v>0</v>
      </c>
    </row>
    <row s="1636" customFormat="1" customHeight="1" ht="0.75" hidden="1">
      <c r="A103" s="1781"/>
      <c r="B103" s="1781"/>
      <c r="C103" s="370" t="s">
        <v>1192</v>
      </c>
      <c r="D103" s="2463"/>
      <c r="E103" s="2205"/>
      <c r="F103" s="2384"/>
      <c r="G103" s="401"/>
      <c r="H103" s="1501"/>
      <c r="I103" s="652"/>
      <c r="J103" s="572"/>
      <c r="K103" s="1501"/>
      <c r="L103" s="215"/>
      <c r="M103" s="342"/>
      <c r="N103" s="335"/>
      <c r="O103" s="1625"/>
      <c r="P103" s="1625"/>
      <c r="AH103" s="1632">
        <v>0</v>
      </c>
    </row>
    <row s="1636" customFormat="1" customHeight="1" ht="18.75" hidden="1">
      <c r="A104" s="1781" t="s">
        <v>199</v>
      </c>
      <c r="B104" s="1781" t="s">
        <v>200</v>
      </c>
      <c r="C104" s="370"/>
      <c r="D104" s="2463"/>
      <c r="E104" s="2205"/>
      <c r="F104" s="2384" t="str">
        <f>INDEX(PT_DIFFERENTIATION_VTAR,MATCH(A104,PT_DIFFERENTIATION_VTAR_ID,0))</f>
        <v>Тарифы на услуги по передаче теплоносителя</v>
      </c>
      <c r="G104" s="2428" t="str">
        <f>INDEX(PT_DIFFERENTIATION_NTAR,MATCH(B104,PT_DIFFERENTIATION_NTAR_ID,0))</f>
        <v/>
      </c>
      <c r="H104" s="1863"/>
      <c r="I104" s="1740"/>
      <c r="J104" s="1774"/>
      <c r="K104" s="1779"/>
      <c r="L104" s="1863" t="s">
        <v>339</v>
      </c>
      <c r="M104" s="342"/>
      <c r="N104" s="335"/>
      <c r="O104" s="1625"/>
      <c r="P104" s="1625"/>
      <c r="AH104" s="1632">
        <v>0</v>
      </c>
    </row>
    <row s="1636" customFormat="1" customHeight="1" ht="18.75" hidden="1">
      <c r="A105" s="1781"/>
      <c r="B105" s="1781"/>
      <c r="C105" s="370" t="s">
        <v>1185</v>
      </c>
      <c r="D105" s="2463"/>
      <c r="E105" s="2205"/>
      <c r="F105" s="2384"/>
      <c r="G105" s="2428"/>
      <c r="H105" s="1501"/>
      <c r="I105" s="652" t="s">
        <v>1184</v>
      </c>
      <c r="J105" s="572"/>
      <c r="K105" s="1501"/>
      <c r="L105" s="215"/>
      <c r="M105" s="342"/>
      <c r="N105" s="335"/>
      <c r="O105" s="1625"/>
      <c r="P105" s="1625"/>
      <c r="AH105" s="1632">
        <v>0</v>
      </c>
    </row>
    <row s="1636" customFormat="1" customHeight="1" ht="0.75" hidden="1">
      <c r="A106" s="1781"/>
      <c r="B106" s="1781"/>
      <c r="C106" s="370" t="s">
        <v>1192</v>
      </c>
      <c r="D106" s="2463"/>
      <c r="E106" s="2205"/>
      <c r="F106" s="2384"/>
      <c r="G106" s="401"/>
      <c r="H106" s="1501"/>
      <c r="I106" s="652"/>
      <c r="J106" s="572"/>
      <c r="K106" s="1501"/>
      <c r="L106" s="215"/>
      <c r="M106" s="342"/>
      <c r="N106" s="335"/>
      <c r="O106" s="1625"/>
      <c r="P106" s="1625"/>
      <c r="AH106" s="1632">
        <v>0</v>
      </c>
    </row>
    <row s="1636" customFormat="1" customHeight="1" ht="18.75" hidden="1">
      <c r="A107" s="1781" t="s">
        <v>205</v>
      </c>
      <c r="B107" s="1781" t="s">
        <v>206</v>
      </c>
      <c r="C107" s="370"/>
      <c r="D107" s="2463"/>
      <c r="E107" s="2205"/>
      <c r="F107" s="2384" t="str">
        <f>INDEX(PT_DIFFERENTIATION_VTAR,MATCH(A107,PT_DIFFERENTIATION_VTAR_ID,0))</f>
        <v>Плата за услуги по поддержанию резервной тепловой мощности при отсутствии потребления тепловой энергии</v>
      </c>
      <c r="G107" s="2428" t="str">
        <f>INDEX(PT_DIFFERENTIATION_NTAR,MATCH(B107,PT_DIFFERENTIATION_NTAR_ID,0))</f>
        <v/>
      </c>
      <c r="H107" s="1863"/>
      <c r="I107" s="1740"/>
      <c r="J107" s="1774"/>
      <c r="K107" s="1779"/>
      <c r="L107" s="1863" t="s">
        <v>339</v>
      </c>
      <c r="M107" s="342"/>
      <c r="N107" s="335"/>
      <c r="O107" s="1625"/>
      <c r="P107" s="1625"/>
      <c r="AH107" s="1632">
        <v>0</v>
      </c>
    </row>
    <row s="1636" customFormat="1" customHeight="1" ht="18.75" hidden="1">
      <c r="A108" s="1781"/>
      <c r="B108" s="1781"/>
      <c r="C108" s="370" t="s">
        <v>1185</v>
      </c>
      <c r="D108" s="2463"/>
      <c r="E108" s="2205"/>
      <c r="F108" s="2384"/>
      <c r="G108" s="2428"/>
      <c r="H108" s="1501"/>
      <c r="I108" s="652" t="s">
        <v>1184</v>
      </c>
      <c r="J108" s="572"/>
      <c r="K108" s="1501"/>
      <c r="L108" s="215"/>
      <c r="M108" s="342"/>
      <c r="N108" s="335"/>
      <c r="O108" s="1625"/>
      <c r="P108" s="1625"/>
      <c r="AH108" s="1632">
        <v>0</v>
      </c>
    </row>
    <row s="1636" customFormat="1" customHeight="1" ht="0.75" hidden="1">
      <c r="A109" s="1781"/>
      <c r="B109" s="1781"/>
      <c r="C109" s="370" t="s">
        <v>1192</v>
      </c>
      <c r="D109" s="2463"/>
      <c r="E109" s="2205"/>
      <c r="F109" s="2384"/>
      <c r="G109" s="401"/>
      <c r="H109" s="1501"/>
      <c r="I109" s="652"/>
      <c r="J109" s="572"/>
      <c r="K109" s="1501"/>
      <c r="L109" s="215"/>
      <c r="M109" s="342"/>
      <c r="N109" s="335"/>
      <c r="O109" s="1625"/>
      <c r="P109" s="1625"/>
      <c r="AH109" s="1632">
        <v>0</v>
      </c>
    </row>
    <row s="1636" customFormat="1" customHeight="1" ht="18.75" hidden="1">
      <c r="A110" s="1781" t="s">
        <v>213</v>
      </c>
      <c r="B110" s="1781" t="s">
        <v>214</v>
      </c>
      <c r="C110" s="370"/>
      <c r="D110" s="2463"/>
      <c r="E110" s="2205"/>
      <c r="F110" s="2384" t="str">
        <f>INDEX(PT_DIFFERENTIATION_VTAR,MATCH(A110,PT_DIFFERENTIATION_VTAR_ID,0))</f>
        <v>Плата за подключение (технологическое присоединение) к системе теплоснабжения</v>
      </c>
      <c r="G110" s="2428" t="str">
        <f>INDEX(PT_DIFFERENTIATION_NTAR,MATCH(B110,PT_DIFFERENTIATION_NTAR_ID,0))</f>
        <v>Расходы на проведение мероприятий по подключению объектов заявителей</v>
      </c>
      <c r="H110" s="1863"/>
      <c r="I110" s="1740"/>
      <c r="J110" s="1774"/>
      <c r="K110" s="1779"/>
      <c r="L110" s="1863" t="s">
        <v>339</v>
      </c>
      <c r="M110" s="342"/>
      <c r="N110" s="335"/>
      <c r="O110" s="1625"/>
      <c r="P110" s="1625"/>
      <c r="AH110" s="1632">
        <v>0</v>
      </c>
    </row>
    <row s="1636" customFormat="1" customHeight="1" ht="18.75" hidden="1">
      <c r="A111" s="1781"/>
      <c r="B111" s="1781"/>
      <c r="C111" s="370" t="s">
        <v>1185</v>
      </c>
      <c r="D111" s="2463"/>
      <c r="E111" s="2205"/>
      <c r="F111" s="2384"/>
      <c r="G111" s="2428"/>
      <c r="H111" s="1501"/>
      <c r="I111" s="652" t="s">
        <v>1184</v>
      </c>
      <c r="J111" s="572"/>
      <c r="K111" s="1501"/>
      <c r="L111" s="215"/>
      <c r="M111" s="342"/>
      <c r="N111" s="335"/>
      <c r="O111" s="1625"/>
      <c r="P111" s="1625"/>
      <c r="AH111" s="1632">
        <v>0</v>
      </c>
    </row>
    <row s="1636" customFormat="1" customHeight="1" ht="18.75">
      <c r="A112" s="1824" t="s">
        <v>213</v>
      </c>
      <c r="B112" s="1824" t="s">
        <v>229</v>
      </c>
      <c r="C112" s="1688"/>
      <c r="D112" s="345"/>
      <c r="E112" s="1032"/>
      <c r="F112" s="1032"/>
      <c r="G112" s="2428" t="str">
        <f>INDEX(PT_DIFFERENTIATION_NTAR,MATCH(B112,PT_DIFFERENTIATION_NTAR_ID,0))</f>
        <v>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 в расчете на единицу мощности подключаемой нагрузки. Подземная бесканальная прокладка до 250 мм</v>
      </c>
      <c r="H112" s="2272"/>
      <c r="I112" s="1740"/>
      <c r="J112" s="1774"/>
      <c r="K112" s="1779"/>
      <c r="L112" s="2272" t="s">
        <v>339</v>
      </c>
      <c r="M112" s="2319"/>
      <c r="N112" s="619"/>
      <c r="O112" s="1625"/>
      <c r="P112" s="1625"/>
      <c r="Q112" s="1636"/>
      <c r="R112" s="1636"/>
      <c r="S112" s="1636"/>
      <c r="T112" s="1636"/>
      <c r="U112" s="1636"/>
      <c r="V112" s="1636"/>
      <c r="W112" s="1636"/>
      <c r="X112" s="1636"/>
      <c r="Y112" s="1636"/>
      <c r="Z112" s="1636"/>
      <c r="AA112" s="1636"/>
      <c r="AB112" s="1636"/>
      <c r="AC112" s="1636"/>
      <c r="AD112" s="1636"/>
      <c r="AE112" s="1636"/>
      <c r="AF112" s="1636"/>
      <c r="AG112" s="1636"/>
      <c r="AH112" s="1636">
        <v>0</v>
      </c>
    </row>
    <row s="1636" customFormat="1" customHeight="1" ht="18.75">
      <c r="A113" s="1824"/>
      <c r="B113" s="1824"/>
      <c r="C113" s="1688" t="s">
        <v>1185</v>
      </c>
      <c r="D113" s="345"/>
      <c r="E113" s="1032"/>
      <c r="F113" s="1032"/>
      <c r="G113" s="2428"/>
      <c r="H113" s="2829"/>
      <c r="I113" s="2830" t="s">
        <v>1184</v>
      </c>
      <c r="J113" s="2831"/>
      <c r="K113" s="2832"/>
      <c r="L113" s="2833"/>
      <c r="M113" s="2319"/>
      <c r="N113" s="619"/>
      <c r="O113" s="1625"/>
      <c r="P113" s="1625"/>
      <c r="Q113" s="1636"/>
      <c r="R113" s="1636"/>
      <c r="S113" s="1636"/>
      <c r="T113" s="1636"/>
      <c r="U113" s="1636"/>
      <c r="V113" s="1636"/>
      <c r="W113" s="1636"/>
      <c r="X113" s="1636"/>
      <c r="Y113" s="1636"/>
      <c r="Z113" s="1636"/>
      <c r="AA113" s="1636"/>
      <c r="AB113" s="1636"/>
      <c r="AC113" s="1636"/>
      <c r="AD113" s="1636"/>
      <c r="AE113" s="1636"/>
      <c r="AF113" s="1636"/>
      <c r="AG113" s="1636"/>
      <c r="AH113" s="1636">
        <v>0</v>
      </c>
    </row>
    <row s="1636" customFormat="1" customHeight="1" ht="0.75" hidden="1">
      <c r="A114" s="1781"/>
      <c r="B114" s="1781"/>
      <c r="C114" s="370" t="s">
        <v>1192</v>
      </c>
      <c r="D114" s="2463"/>
      <c r="E114" s="2205"/>
      <c r="F114" s="2384"/>
      <c r="G114" s="401"/>
      <c r="H114" s="1501"/>
      <c r="I114" s="652"/>
      <c r="J114" s="572"/>
      <c r="K114" s="1501"/>
      <c r="L114" s="215"/>
      <c r="M114" s="342"/>
      <c r="N114" s="335"/>
      <c r="O114" s="1625"/>
      <c r="P114" s="1625"/>
      <c r="AH114" s="1632">
        <v>0</v>
      </c>
    </row>
    <row s="1636" customFormat="1" customHeight="1" ht="18.75" hidden="1">
      <c r="A115" s="1781" t="s">
        <v>238</v>
      </c>
      <c r="B115" s="1781" t="s">
        <v>239</v>
      </c>
      <c r="C115" s="370"/>
      <c r="D115" s="2463"/>
      <c r="E115" s="2205"/>
      <c r="F115" s="2384" t="str">
        <f>INDEX(PT_DIFFERENTIATION_VTAR,MATCH(A115,PT_DIFFERENTIATION_VTAR_ID,0))</f>
        <v>Плата за подключение (технологическое присоединение) к системе теплоснабжения (индивидуальная)</v>
      </c>
      <c r="G115" s="2428" t="str">
        <f>INDEX(PT_DIFFERENTIATION_NTAR,MATCH(B115,PT_DIFFERENTIATION_NTAR_ID,0))</f>
        <v/>
      </c>
      <c r="H115" s="1990"/>
      <c r="I115" s="1740"/>
      <c r="J115" s="1774"/>
      <c r="K115" s="1779"/>
      <c r="L115" s="1990" t="s">
        <v>339</v>
      </c>
      <c r="M115" s="342"/>
      <c r="N115" s="335"/>
      <c r="O115" s="1625"/>
      <c r="P115" s="1625"/>
      <c r="AH115" s="1632">
        <v>0</v>
      </c>
    </row>
    <row s="1636" customFormat="1" customHeight="1" ht="18.75" hidden="1">
      <c r="A116" s="1781"/>
      <c r="B116" s="1781"/>
      <c r="C116" s="370" t="s">
        <v>1185</v>
      </c>
      <c r="D116" s="2463"/>
      <c r="E116" s="2205"/>
      <c r="F116" s="2384"/>
      <c r="G116" s="2428"/>
      <c r="H116" s="1501"/>
      <c r="I116" s="652" t="s">
        <v>1184</v>
      </c>
      <c r="J116" s="572"/>
      <c r="K116" s="1501"/>
      <c r="L116" s="215"/>
      <c r="M116" s="342"/>
      <c r="N116" s="335"/>
      <c r="O116" s="1625"/>
      <c r="P116" s="1625"/>
      <c r="AH116" s="1632">
        <v>0</v>
      </c>
    </row>
    <row s="1636" customFormat="1" customHeight="1" ht="0.75" hidden="1">
      <c r="A117" s="1781"/>
      <c r="B117" s="1781"/>
      <c r="C117" s="370" t="s">
        <v>1192</v>
      </c>
      <c r="D117" s="2463"/>
      <c r="E117" s="2205"/>
      <c r="F117" s="2384"/>
      <c r="G117" s="401"/>
      <c r="H117" s="1501"/>
      <c r="I117" s="652"/>
      <c r="J117" s="572"/>
      <c r="K117" s="1501"/>
      <c r="L117" s="215"/>
      <c r="M117" s="342"/>
      <c r="N117" s="335"/>
      <c r="O117" s="1625"/>
      <c r="P117" s="1625"/>
      <c r="AH117" s="1632">
        <v>0</v>
      </c>
    </row>
    <row s="1636" customFormat="1" customHeight="1" ht="18.75" hidden="1">
      <c r="A118" s="1781" t="s">
        <v>258</v>
      </c>
      <c r="B118" s="1781" t="s">
        <v>259</v>
      </c>
      <c r="C118" s="370"/>
      <c r="D118" s="2463"/>
      <c r="E118" s="2205"/>
      <c r="F118" s="2384" t="str">
        <f>INDEX(PT_DIFFERENTIATION_VTAR,MATCH(A118,PT_DIFFERENTIATION_VTAR_ID,0))</f>
        <v>Тариф на питьевую воду (питьевое водоснабжение)</v>
      </c>
      <c r="G118" s="2428" t="str">
        <f>INDEX(PT_DIFFERENTIATION_NTAR,MATCH(B118,PT_DIFFERENTIATION_NTAR_ID,0))</f>
        <v/>
      </c>
      <c r="H118" s="1863"/>
      <c r="I118" s="1740"/>
      <c r="J118" s="1774"/>
      <c r="K118" s="1779"/>
      <c r="L118" s="1863" t="s">
        <v>339</v>
      </c>
      <c r="M118" s="342"/>
      <c r="N118" s="335"/>
      <c r="O118" s="1625"/>
      <c r="P118" s="1625"/>
      <c r="AH118" s="1632">
        <v>0</v>
      </c>
    </row>
    <row s="1636" customFormat="1" customHeight="1" ht="18.75" hidden="1">
      <c r="A119" s="1781"/>
      <c r="B119" s="1781"/>
      <c r="C119" s="370" t="s">
        <v>1185</v>
      </c>
      <c r="D119" s="2463"/>
      <c r="E119" s="2205"/>
      <c r="F119" s="2384"/>
      <c r="G119" s="2428"/>
      <c r="H119" s="1501"/>
      <c r="I119" s="652" t="s">
        <v>1184</v>
      </c>
      <c r="J119" s="572"/>
      <c r="K119" s="1501"/>
      <c r="L119" s="215"/>
      <c r="M119" s="342"/>
      <c r="N119" s="335"/>
      <c r="O119" s="1625"/>
      <c r="P119" s="1625"/>
      <c r="AH119" s="1632">
        <v>0</v>
      </c>
    </row>
    <row s="1636" customFormat="1" customHeight="1" ht="0.75" hidden="1">
      <c r="A120" s="1781"/>
      <c r="B120" s="1781"/>
      <c r="C120" s="370" t="s">
        <v>1192</v>
      </c>
      <c r="D120" s="2463"/>
      <c r="E120" s="2205"/>
      <c r="F120" s="2384"/>
      <c r="G120" s="401"/>
      <c r="H120" s="1501"/>
      <c r="I120" s="652"/>
      <c r="J120" s="572"/>
      <c r="K120" s="1501"/>
      <c r="L120" s="215"/>
      <c r="M120" s="342"/>
      <c r="N120" s="335"/>
      <c r="O120" s="1625"/>
      <c r="P120" s="1625"/>
      <c r="AH120" s="1632">
        <v>0</v>
      </c>
    </row>
    <row s="1636" customFormat="1" customHeight="1" ht="18.75" hidden="1">
      <c r="A121" s="1781" t="s">
        <v>263</v>
      </c>
      <c r="B121" s="1781" t="s">
        <v>264</v>
      </c>
      <c r="C121" s="370"/>
      <c r="D121" s="2463"/>
      <c r="E121" s="2205"/>
      <c r="F121" s="2384" t="str">
        <f>INDEX(PT_DIFFERENTIATION_VTAR,MATCH(A121,PT_DIFFERENTIATION_VTAR_ID,0))</f>
        <v>Тариф на техническую воду</v>
      </c>
      <c r="G121" s="2428" t="str">
        <f>INDEX(PT_DIFFERENTIATION_NTAR,MATCH(B121,PT_DIFFERENTIATION_NTAR_ID,0))</f>
        <v/>
      </c>
      <c r="H121" s="1863"/>
      <c r="I121" s="1740"/>
      <c r="J121" s="1774"/>
      <c r="K121" s="1779"/>
      <c r="L121" s="1863" t="s">
        <v>339</v>
      </c>
      <c r="M121" s="342"/>
      <c r="N121" s="335"/>
      <c r="O121" s="1625"/>
      <c r="P121" s="1625"/>
      <c r="AH121" s="1632">
        <v>0</v>
      </c>
    </row>
    <row s="1636" customFormat="1" customHeight="1" ht="18.75" hidden="1">
      <c r="A122" s="1781"/>
      <c r="B122" s="1781"/>
      <c r="C122" s="370" t="s">
        <v>1185</v>
      </c>
      <c r="D122" s="2463"/>
      <c r="E122" s="2205"/>
      <c r="F122" s="2384"/>
      <c r="G122" s="2428"/>
      <c r="H122" s="1501"/>
      <c r="I122" s="652" t="s">
        <v>1184</v>
      </c>
      <c r="J122" s="572"/>
      <c r="K122" s="1501"/>
      <c r="L122" s="215"/>
      <c r="M122" s="342"/>
      <c r="N122" s="335"/>
      <c r="O122" s="1625"/>
      <c r="P122" s="1625"/>
      <c r="AH122" s="1632">
        <v>0</v>
      </c>
    </row>
    <row s="1636" customFormat="1" customHeight="1" ht="0.75" hidden="1">
      <c r="A123" s="1781"/>
      <c r="B123" s="1781"/>
      <c r="C123" s="370" t="s">
        <v>1192</v>
      </c>
      <c r="D123" s="2463"/>
      <c r="E123" s="2205"/>
      <c r="F123" s="2384"/>
      <c r="G123" s="401"/>
      <c r="H123" s="1501"/>
      <c r="I123" s="652"/>
      <c r="J123" s="572"/>
      <c r="K123" s="1501"/>
      <c r="L123" s="215"/>
      <c r="M123" s="342"/>
      <c r="N123" s="335"/>
      <c r="O123" s="1625"/>
      <c r="P123" s="1625"/>
      <c r="AH123" s="1632">
        <v>0</v>
      </c>
    </row>
    <row s="1636" customFormat="1" customHeight="1" ht="18.75" hidden="1">
      <c r="A124" s="1781" t="s">
        <v>268</v>
      </c>
      <c r="B124" s="1781" t="s">
        <v>269</v>
      </c>
      <c r="C124" s="370"/>
      <c r="D124" s="2463"/>
      <c r="E124" s="2205"/>
      <c r="F124" s="2384" t="str">
        <f>INDEX(PT_DIFFERENTIATION_VTAR,MATCH(A124,PT_DIFFERENTIATION_VTAR_ID,0))</f>
        <v>Тариф на транспортировку воды</v>
      </c>
      <c r="G124" s="2428" t="str">
        <f>INDEX(PT_DIFFERENTIATION_NTAR,MATCH(B124,PT_DIFFERENTIATION_NTAR_ID,0))</f>
        <v/>
      </c>
      <c r="H124" s="1863"/>
      <c r="I124" s="1740"/>
      <c r="J124" s="1774"/>
      <c r="K124" s="1779"/>
      <c r="L124" s="1863" t="s">
        <v>339</v>
      </c>
      <c r="M124" s="342"/>
      <c r="N124" s="335"/>
      <c r="O124" s="1625"/>
      <c r="P124" s="1625"/>
      <c r="AH124" s="1632">
        <v>0</v>
      </c>
    </row>
    <row s="1636" customFormat="1" customHeight="1" ht="18.75" hidden="1">
      <c r="A125" s="1781"/>
      <c r="B125" s="1781"/>
      <c r="C125" s="370" t="s">
        <v>1185</v>
      </c>
      <c r="D125" s="2463"/>
      <c r="E125" s="2205"/>
      <c r="F125" s="2384"/>
      <c r="G125" s="2428"/>
      <c r="H125" s="1501"/>
      <c r="I125" s="652" t="s">
        <v>1184</v>
      </c>
      <c r="J125" s="572"/>
      <c r="K125" s="1501"/>
      <c r="L125" s="215"/>
      <c r="M125" s="342"/>
      <c r="N125" s="335"/>
      <c r="O125" s="1625"/>
      <c r="P125" s="1625"/>
      <c r="AH125" s="1632">
        <v>0</v>
      </c>
    </row>
    <row s="1636" customFormat="1" customHeight="1" ht="0.75" hidden="1">
      <c r="A126" s="1781"/>
      <c r="B126" s="1781"/>
      <c r="C126" s="370" t="s">
        <v>1192</v>
      </c>
      <c r="D126" s="2463"/>
      <c r="E126" s="2205"/>
      <c r="F126" s="2384"/>
      <c r="G126" s="401"/>
      <c r="H126" s="1501"/>
      <c r="I126" s="652"/>
      <c r="J126" s="572"/>
      <c r="K126" s="1501"/>
      <c r="L126" s="215"/>
      <c r="M126" s="342"/>
      <c r="N126" s="335"/>
      <c r="O126" s="1625"/>
      <c r="P126" s="1625"/>
      <c r="AH126" s="1632">
        <v>0</v>
      </c>
    </row>
    <row s="1636" customFormat="1" customHeight="1" ht="18.75" hidden="1">
      <c r="A127" s="1781" t="s">
        <v>273</v>
      </c>
      <c r="B127" s="1781" t="s">
        <v>274</v>
      </c>
      <c r="C127" s="370"/>
      <c r="D127" s="2463"/>
      <c r="E127" s="2205"/>
      <c r="F127" s="2384" t="str">
        <f>INDEX(PT_DIFFERENTIATION_VTAR,MATCH(A127,PT_DIFFERENTIATION_VTAR_ID,0))</f>
        <v>Тариф на подвоз воды</v>
      </c>
      <c r="G127" s="2428" t="str">
        <f>INDEX(PT_DIFFERENTIATION_NTAR,MATCH(B127,PT_DIFFERENTIATION_NTAR_ID,0))</f>
        <v/>
      </c>
      <c r="H127" s="1863"/>
      <c r="I127" s="1740"/>
      <c r="J127" s="1774"/>
      <c r="K127" s="1779"/>
      <c r="L127" s="1863" t="s">
        <v>339</v>
      </c>
      <c r="M127" s="342"/>
      <c r="N127" s="335"/>
      <c r="O127" s="1625"/>
      <c r="P127" s="1625"/>
      <c r="AH127" s="1632">
        <v>0</v>
      </c>
    </row>
    <row s="1636" customFormat="1" customHeight="1" ht="18.75" hidden="1">
      <c r="A128" s="1781"/>
      <c r="B128" s="1781"/>
      <c r="C128" s="370" t="s">
        <v>1185</v>
      </c>
      <c r="D128" s="2463"/>
      <c r="E128" s="2205"/>
      <c r="F128" s="2384"/>
      <c r="G128" s="2428"/>
      <c r="H128" s="1501"/>
      <c r="I128" s="652" t="s">
        <v>1184</v>
      </c>
      <c r="J128" s="572"/>
      <c r="K128" s="1501"/>
      <c r="L128" s="215"/>
      <c r="M128" s="342"/>
      <c r="N128" s="335"/>
      <c r="O128" s="1625"/>
      <c r="P128" s="1625"/>
      <c r="AH128" s="1632">
        <v>0</v>
      </c>
    </row>
    <row s="1636" customFormat="1" customHeight="1" ht="0.75" hidden="1">
      <c r="A129" s="1781"/>
      <c r="B129" s="1781"/>
      <c r="C129" s="370" t="s">
        <v>1192</v>
      </c>
      <c r="D129" s="2463"/>
      <c r="E129" s="2205"/>
      <c r="F129" s="2384"/>
      <c r="G129" s="401"/>
      <c r="H129" s="1501"/>
      <c r="I129" s="652"/>
      <c r="J129" s="572"/>
      <c r="K129" s="1501"/>
      <c r="L129" s="215"/>
      <c r="M129" s="342"/>
      <c r="N129" s="335"/>
      <c r="O129" s="1625"/>
      <c r="P129" s="1625"/>
      <c r="AH129" s="1632">
        <v>0</v>
      </c>
    </row>
    <row s="1636" customFormat="1" customHeight="1" ht="18.75" hidden="1">
      <c r="A130" s="1781" t="s">
        <v>278</v>
      </c>
      <c r="B130" s="1781" t="s">
        <v>279</v>
      </c>
      <c r="C130" s="370"/>
      <c r="D130" s="2463"/>
      <c r="E130" s="2205"/>
      <c r="F130" s="2384" t="str">
        <f>INDEX(PT_DIFFERENTIATION_VTAR,MATCH(A130,PT_DIFFERENTIATION_VTAR_ID,0))</f>
        <v>Тариф на подключение (технологическое присоединение) к централизованной системе холодного водоснабжения</v>
      </c>
      <c r="G130" s="2428" t="str">
        <f>INDEX(PT_DIFFERENTIATION_NTAR,MATCH(B130,PT_DIFFERENTIATION_NTAR_ID,0))</f>
        <v/>
      </c>
      <c r="H130" s="1863"/>
      <c r="I130" s="1740"/>
      <c r="J130" s="1774"/>
      <c r="K130" s="1779"/>
      <c r="L130" s="1863" t="s">
        <v>339</v>
      </c>
      <c r="M130" s="342"/>
      <c r="N130" s="335"/>
      <c r="O130" s="1625"/>
      <c r="P130" s="1625"/>
      <c r="AH130" s="1632">
        <v>0</v>
      </c>
    </row>
    <row s="1636" customFormat="1" customHeight="1" ht="18.75" hidden="1">
      <c r="A131" s="1781"/>
      <c r="B131" s="1781"/>
      <c r="C131" s="370" t="s">
        <v>1185</v>
      </c>
      <c r="D131" s="2463"/>
      <c r="E131" s="2205"/>
      <c r="F131" s="2384"/>
      <c r="G131" s="2428"/>
      <c r="H131" s="1501"/>
      <c r="I131" s="652" t="s">
        <v>1184</v>
      </c>
      <c r="J131" s="572"/>
      <c r="K131" s="1501"/>
      <c r="L131" s="215"/>
      <c r="M131" s="342"/>
      <c r="N131" s="335"/>
      <c r="O131" s="1625"/>
      <c r="P131" s="1625"/>
      <c r="AH131" s="1632">
        <v>0</v>
      </c>
    </row>
    <row s="1636" customFormat="1" customHeight="1" ht="0.75" hidden="1">
      <c r="A132" s="1781"/>
      <c r="B132" s="1781"/>
      <c r="C132" s="370" t="s">
        <v>1192</v>
      </c>
      <c r="D132" s="2463"/>
      <c r="E132" s="2205"/>
      <c r="F132" s="2384"/>
      <c r="G132" s="401"/>
      <c r="H132" s="1501"/>
      <c r="I132" s="652"/>
      <c r="J132" s="572"/>
      <c r="K132" s="1501"/>
      <c r="L132" s="215"/>
      <c r="M132" s="342"/>
      <c r="N132" s="335"/>
      <c r="O132" s="1625"/>
      <c r="P132" s="1625"/>
      <c r="AH132" s="1632">
        <v>0</v>
      </c>
    </row>
    <row s="1636" customFormat="1" customHeight="1" ht="18.75" hidden="1">
      <c r="A133" s="1781" t="s">
        <v>283</v>
      </c>
      <c r="B133" s="1781" t="s">
        <v>284</v>
      </c>
      <c r="C133" s="370"/>
      <c r="D133" s="2463"/>
      <c r="E133" s="2205"/>
      <c r="F133" s="2384" t="str">
        <f>INDEX(PT_DIFFERENTIATION_VTAR,MATCH(A133,PT_DIFFERENTIATION_VTAR_ID,0))</f>
        <v>Тариф на горячую воду (горячее водоснабжение)</v>
      </c>
      <c r="G133" s="2428" t="str">
        <f>INDEX(PT_DIFFERENTIATION_NTAR,MATCH(B133,PT_DIFFERENTIATION_NTAR_ID,0))</f>
        <v/>
      </c>
      <c r="H133" s="1863"/>
      <c r="I133" s="1740"/>
      <c r="J133" s="1774"/>
      <c r="K133" s="1779"/>
      <c r="L133" s="1863" t="s">
        <v>339</v>
      </c>
      <c r="M133" s="342"/>
      <c r="N133" s="335"/>
      <c r="O133" s="1625"/>
      <c r="P133" s="1625"/>
      <c r="AH133" s="1632">
        <v>0</v>
      </c>
    </row>
    <row s="1636" customFormat="1" customHeight="1" ht="18.75" hidden="1">
      <c r="A134" s="1781"/>
      <c r="B134" s="1781"/>
      <c r="C134" s="370" t="s">
        <v>1185</v>
      </c>
      <c r="D134" s="2463"/>
      <c r="E134" s="2205"/>
      <c r="F134" s="2384"/>
      <c r="G134" s="2428"/>
      <c r="H134" s="1501"/>
      <c r="I134" s="652" t="s">
        <v>1184</v>
      </c>
      <c r="J134" s="572"/>
      <c r="K134" s="1501"/>
      <c r="L134" s="215"/>
      <c r="M134" s="342"/>
      <c r="N134" s="335"/>
      <c r="O134" s="1625"/>
      <c r="P134" s="1625"/>
      <c r="AH134" s="1632">
        <v>0</v>
      </c>
    </row>
    <row s="1636" customFormat="1" customHeight="1" ht="0.75" hidden="1">
      <c r="A135" s="1781"/>
      <c r="B135" s="1781"/>
      <c r="C135" s="370" t="s">
        <v>1192</v>
      </c>
      <c r="D135" s="2463"/>
      <c r="E135" s="2205"/>
      <c r="F135" s="2384"/>
      <c r="G135" s="401"/>
      <c r="H135" s="1501"/>
      <c r="I135" s="652"/>
      <c r="J135" s="572"/>
      <c r="K135" s="1501"/>
      <c r="L135" s="215"/>
      <c r="M135" s="342"/>
      <c r="N135" s="335"/>
      <c r="O135" s="1625"/>
      <c r="P135" s="1625"/>
      <c r="AH135" s="1632">
        <v>0</v>
      </c>
    </row>
    <row s="1636" customFormat="1" customHeight="1" ht="18.75" hidden="1">
      <c r="A136" s="1781" t="s">
        <v>288</v>
      </c>
      <c r="B136" s="1781" t="s">
        <v>289</v>
      </c>
      <c r="C136" s="370"/>
      <c r="D136" s="2463"/>
      <c r="E136" s="2205"/>
      <c r="F136" s="2384" t="str">
        <f>INDEX(PT_DIFFERENTIATION_VTAR,MATCH(A136,PT_DIFFERENTIATION_VTAR_ID,0))</f>
        <v>Тариф на транспортировку горячей воды</v>
      </c>
      <c r="G136" s="2428" t="str">
        <f>INDEX(PT_DIFFERENTIATION_NTAR,MATCH(B136,PT_DIFFERENTIATION_NTAR_ID,0))</f>
        <v/>
      </c>
      <c r="H136" s="1863"/>
      <c r="I136" s="1740"/>
      <c r="J136" s="1774"/>
      <c r="K136" s="1779"/>
      <c r="L136" s="1863" t="s">
        <v>339</v>
      </c>
      <c r="M136" s="342"/>
      <c r="N136" s="335"/>
      <c r="O136" s="1625"/>
      <c r="P136" s="1625"/>
      <c r="AH136" s="1632">
        <v>0</v>
      </c>
    </row>
    <row s="1636" customFormat="1" customHeight="1" ht="18.75" hidden="1">
      <c r="A137" s="1781"/>
      <c r="B137" s="1781"/>
      <c r="C137" s="370" t="s">
        <v>1185</v>
      </c>
      <c r="D137" s="2463"/>
      <c r="E137" s="2205"/>
      <c r="F137" s="2384"/>
      <c r="G137" s="2428"/>
      <c r="H137" s="1501"/>
      <c r="I137" s="652" t="s">
        <v>1184</v>
      </c>
      <c r="J137" s="572"/>
      <c r="K137" s="1501"/>
      <c r="L137" s="215"/>
      <c r="M137" s="342"/>
      <c r="N137" s="335"/>
      <c r="O137" s="1625"/>
      <c r="P137" s="1625"/>
      <c r="AH137" s="1632">
        <v>0</v>
      </c>
    </row>
    <row s="1636" customFormat="1" customHeight="1" ht="0.75" hidden="1">
      <c r="A138" s="1781"/>
      <c r="B138" s="1781"/>
      <c r="C138" s="370" t="s">
        <v>1192</v>
      </c>
      <c r="D138" s="2463"/>
      <c r="E138" s="2205"/>
      <c r="F138" s="2384"/>
      <c r="G138" s="401"/>
      <c r="H138" s="1501"/>
      <c r="I138" s="652"/>
      <c r="J138" s="572"/>
      <c r="K138" s="1501"/>
      <c r="L138" s="215"/>
      <c r="M138" s="342"/>
      <c r="N138" s="335"/>
      <c r="O138" s="1625"/>
      <c r="P138" s="1625"/>
      <c r="AH138" s="1632">
        <v>0</v>
      </c>
    </row>
    <row s="1636" customFormat="1" customHeight="1" ht="18.75" hidden="1">
      <c r="A139" s="1781" t="s">
        <v>293</v>
      </c>
      <c r="B139" s="1781" t="s">
        <v>294</v>
      </c>
      <c r="C139" s="370"/>
      <c r="D139" s="2463"/>
      <c r="E139" s="2205"/>
      <c r="F139" s="2384" t="str">
        <f>INDEX(PT_DIFFERENTIATION_VTAR,MATCH(A139,PT_DIFFERENTIATION_VTAR_ID,0))</f>
        <v>Тариф на подключение (технологическое присоединение) к централизованной системе горячего водоснабжения</v>
      </c>
      <c r="G139" s="2428" t="str">
        <f>INDEX(PT_DIFFERENTIATION_NTAR,MATCH(B139,PT_DIFFERENTIATION_NTAR_ID,0))</f>
        <v/>
      </c>
      <c r="H139" s="1863"/>
      <c r="I139" s="1740"/>
      <c r="J139" s="1774"/>
      <c r="K139" s="1779"/>
      <c r="L139" s="1863" t="s">
        <v>339</v>
      </c>
      <c r="M139" s="342"/>
      <c r="N139" s="335"/>
      <c r="O139" s="1625"/>
      <c r="P139" s="1625"/>
      <c r="AH139" s="1632">
        <v>0</v>
      </c>
    </row>
    <row s="1636" customFormat="1" customHeight="1" ht="18.75" hidden="1">
      <c r="A140" s="1781"/>
      <c r="B140" s="1781"/>
      <c r="C140" s="370" t="s">
        <v>1185</v>
      </c>
      <c r="D140" s="2463"/>
      <c r="E140" s="2205"/>
      <c r="F140" s="2384"/>
      <c r="G140" s="2428"/>
      <c r="H140" s="1501"/>
      <c r="I140" s="652" t="s">
        <v>1184</v>
      </c>
      <c r="J140" s="572"/>
      <c r="K140" s="1501"/>
      <c r="L140" s="215"/>
      <c r="M140" s="342"/>
      <c r="N140" s="335"/>
      <c r="O140" s="1625"/>
      <c r="P140" s="1625"/>
      <c r="AH140" s="1632">
        <v>0</v>
      </c>
    </row>
    <row s="1636" customFormat="1" customHeight="1" ht="0.75" hidden="1">
      <c r="A141" s="1781"/>
      <c r="B141" s="1781"/>
      <c r="C141" s="370" t="s">
        <v>1192</v>
      </c>
      <c r="D141" s="2463"/>
      <c r="E141" s="2205"/>
      <c r="F141" s="2384"/>
      <c r="G141" s="401"/>
      <c r="H141" s="1501"/>
      <c r="I141" s="652"/>
      <c r="J141" s="572"/>
      <c r="K141" s="1501"/>
      <c r="L141" s="215"/>
      <c r="M141" s="342"/>
      <c r="N141" s="335"/>
      <c r="O141" s="1625"/>
      <c r="P141" s="1625"/>
      <c r="AH141" s="1632">
        <v>0</v>
      </c>
    </row>
    <row s="1636" customFormat="1" customHeight="1" ht="18.75" hidden="1">
      <c r="A142" s="1781" t="s">
        <v>298</v>
      </c>
      <c r="B142" s="1781" t="s">
        <v>299</v>
      </c>
      <c r="C142" s="370"/>
      <c r="D142" s="2463"/>
      <c r="E142" s="2205"/>
      <c r="F142" s="2384" t="str">
        <f>INDEX(PT_DIFFERENTIATION_VTAR,MATCH(A142,PT_DIFFERENTIATION_VTAR_ID,0))</f>
        <v>Тариф на водоотведение</v>
      </c>
      <c r="G142" s="2428" t="str">
        <f>INDEX(PT_DIFFERENTIATION_NTAR,MATCH(B142,PT_DIFFERENTIATION_NTAR_ID,0))</f>
        <v/>
      </c>
      <c r="H142" s="1863"/>
      <c r="I142" s="1740"/>
      <c r="J142" s="1774"/>
      <c r="K142" s="1779"/>
      <c r="L142" s="1863" t="s">
        <v>339</v>
      </c>
      <c r="M142" s="342"/>
      <c r="N142" s="335"/>
      <c r="O142" s="1625"/>
      <c r="P142" s="1625"/>
      <c r="AH142" s="1632">
        <v>0</v>
      </c>
    </row>
    <row s="1636" customFormat="1" customHeight="1" ht="18.75" hidden="1">
      <c r="A143" s="1781"/>
      <c r="B143" s="1781"/>
      <c r="C143" s="370" t="s">
        <v>1185</v>
      </c>
      <c r="D143" s="2463"/>
      <c r="E143" s="2205"/>
      <c r="F143" s="2384"/>
      <c r="G143" s="2428"/>
      <c r="H143" s="1501"/>
      <c r="I143" s="652" t="s">
        <v>1184</v>
      </c>
      <c r="J143" s="572"/>
      <c r="K143" s="1501"/>
      <c r="L143" s="215"/>
      <c r="M143" s="342"/>
      <c r="N143" s="335"/>
      <c r="O143" s="1625"/>
      <c r="P143" s="1625"/>
      <c r="AH143" s="1632">
        <v>0</v>
      </c>
    </row>
    <row s="1636" customFormat="1" customHeight="1" ht="0.75" hidden="1">
      <c r="A144" s="1781"/>
      <c r="B144" s="1781"/>
      <c r="C144" s="370" t="s">
        <v>1192</v>
      </c>
      <c r="D144" s="2463"/>
      <c r="E144" s="2205"/>
      <c r="F144" s="2384"/>
      <c r="G144" s="401"/>
      <c r="H144" s="1501"/>
      <c r="I144" s="652"/>
      <c r="J144" s="572"/>
      <c r="K144" s="1501"/>
      <c r="L144" s="215"/>
      <c r="M144" s="342"/>
      <c r="N144" s="335"/>
      <c r="O144" s="1625"/>
      <c r="P144" s="1625"/>
      <c r="AH144" s="1632">
        <v>0</v>
      </c>
    </row>
    <row s="1636" customFormat="1" customHeight="1" ht="18.75" hidden="1">
      <c r="A145" s="1781" t="s">
        <v>303</v>
      </c>
      <c r="B145" s="1781" t="s">
        <v>304</v>
      </c>
      <c r="C145" s="370"/>
      <c r="D145" s="2463"/>
      <c r="E145" s="2205"/>
      <c r="F145" s="2384" t="str">
        <f>INDEX(PT_DIFFERENTIATION_VTAR,MATCH(A145,PT_DIFFERENTIATION_VTAR_ID,0))</f>
        <v>Тариф на транспортировку сточных вод</v>
      </c>
      <c r="G145" s="2428" t="str">
        <f>INDEX(PT_DIFFERENTIATION_NTAR,MATCH(B145,PT_DIFFERENTIATION_NTAR_ID,0))</f>
        <v/>
      </c>
      <c r="H145" s="1863"/>
      <c r="I145" s="1740"/>
      <c r="J145" s="1774"/>
      <c r="K145" s="1779"/>
      <c r="L145" s="1863" t="s">
        <v>339</v>
      </c>
      <c r="M145" s="342"/>
      <c r="N145" s="335"/>
      <c r="O145" s="1625"/>
      <c r="P145" s="1625"/>
      <c r="AH145" s="1632">
        <v>0</v>
      </c>
    </row>
    <row s="1636" customFormat="1" customHeight="1" ht="18.75" hidden="1">
      <c r="A146" s="1781"/>
      <c r="B146" s="1781"/>
      <c r="C146" s="370" t="s">
        <v>1185</v>
      </c>
      <c r="D146" s="2463"/>
      <c r="E146" s="2205"/>
      <c r="F146" s="2384"/>
      <c r="G146" s="2428"/>
      <c r="H146" s="1501"/>
      <c r="I146" s="652" t="s">
        <v>1184</v>
      </c>
      <c r="J146" s="572"/>
      <c r="K146" s="1501"/>
      <c r="L146" s="215"/>
      <c r="M146" s="342"/>
      <c r="N146" s="335"/>
      <c r="O146" s="1625"/>
      <c r="P146" s="1625"/>
      <c r="AH146" s="1632">
        <v>0</v>
      </c>
    </row>
    <row s="1636" customFormat="1" customHeight="1" ht="0.75" hidden="1">
      <c r="A147" s="1781"/>
      <c r="B147" s="1781"/>
      <c r="C147" s="370" t="s">
        <v>1192</v>
      </c>
      <c r="D147" s="2463"/>
      <c r="E147" s="2205"/>
      <c r="F147" s="2384"/>
      <c r="G147" s="401"/>
      <c r="H147" s="1501"/>
      <c r="I147" s="652"/>
      <c r="J147" s="572"/>
      <c r="K147" s="1501"/>
      <c r="L147" s="215"/>
      <c r="M147" s="342"/>
      <c r="N147" s="335"/>
      <c r="O147" s="1625"/>
      <c r="P147" s="1625"/>
      <c r="AH147" s="1632">
        <v>0</v>
      </c>
    </row>
    <row s="1636" customFormat="1" customHeight="1" ht="18.75" hidden="1">
      <c r="A148" s="1781" t="s">
        <v>308</v>
      </c>
      <c r="B148" s="1781" t="s">
        <v>309</v>
      </c>
      <c r="C148" s="370"/>
      <c r="D148" s="2463"/>
      <c r="E148" s="2205"/>
      <c r="F148" s="2384" t="str">
        <f>INDEX(PT_DIFFERENTIATION_VTAR,MATCH(A148,PT_DIFFERENTIATION_VTAR_ID,0))</f>
        <v>Тариф на подключение (технологическое присоединение) к централизованной системе водоотведения</v>
      </c>
      <c r="G148" s="2428" t="str">
        <f>INDEX(PT_DIFFERENTIATION_NTAR,MATCH(B148,PT_DIFFERENTIATION_NTAR_ID,0))</f>
        <v/>
      </c>
      <c r="H148" s="1863"/>
      <c r="I148" s="1740"/>
      <c r="J148" s="1774"/>
      <c r="K148" s="1779"/>
      <c r="L148" s="1863" t="s">
        <v>339</v>
      </c>
      <c r="M148" s="342"/>
      <c r="N148" s="335"/>
      <c r="O148" s="1625"/>
      <c r="P148" s="1625"/>
      <c r="AH148" s="1632">
        <v>0</v>
      </c>
    </row>
    <row s="1636" customFormat="1" customHeight="1" ht="18.75" hidden="1">
      <c r="A149" s="1781"/>
      <c r="B149" s="1781"/>
      <c r="C149" s="370" t="s">
        <v>1185</v>
      </c>
      <c r="D149" s="2463"/>
      <c r="E149" s="2205"/>
      <c r="F149" s="2384"/>
      <c r="G149" s="2428"/>
      <c r="H149" s="1501"/>
      <c r="I149" s="652" t="s">
        <v>1184</v>
      </c>
      <c r="J149" s="572"/>
      <c r="K149" s="1501"/>
      <c r="L149" s="215"/>
      <c r="M149" s="342"/>
      <c r="N149" s="335"/>
      <c r="O149" s="1625"/>
      <c r="P149" s="1625"/>
      <c r="AH149" s="1632">
        <v>0</v>
      </c>
    </row>
    <row s="1636" customFormat="1" customHeight="1" ht="1.05">
      <c r="A150" s="1781"/>
      <c r="B150" s="1781"/>
      <c r="C150" s="370" t="s">
        <v>1192</v>
      </c>
      <c r="D150" s="2463"/>
      <c r="E150" s="2205"/>
      <c r="F150" s="2384"/>
      <c r="G150" s="401"/>
      <c r="H150" s="1501"/>
      <c r="I150" s="652"/>
      <c r="J150" s="572"/>
      <c r="K150" s="1501"/>
      <c r="L150" s="215"/>
      <c r="M150" s="342"/>
      <c r="N150" s="335"/>
      <c r="O150" s="1625"/>
      <c r="P150" s="1625"/>
      <c r="AH150" s="1632">
        <v>1</v>
      </c>
    </row>
    <row customHeight="1" ht="19.95">
      <c r="A151" s="1781"/>
      <c r="B151" s="1781"/>
      <c r="D151" s="377"/>
      <c r="E151" s="148" t="s">
        <v>94</v>
      </c>
      <c r="F151"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51" s="2461"/>
      <c r="H151" s="2461"/>
      <c r="I151" s="2461"/>
      <c r="J151" s="2461"/>
      <c r="K151" s="2461"/>
      <c r="L151" s="2461"/>
      <c r="M151" s="298"/>
      <c r="N151" s="335"/>
      <c r="AH151" s="375">
        <v>19</v>
      </c>
    </row>
    <row s="1636" customFormat="1" customHeight="1" ht="60.75" hidden="1">
      <c r="A152" s="1781" t="s">
        <v>169</v>
      </c>
      <c r="B152" s="1781" t="s">
        <v>170</v>
      </c>
      <c r="C152" s="370"/>
      <c r="D152" s="2463"/>
      <c r="E152" s="2205"/>
      <c r="F152" s="2384" t="str">
        <f>INDEX(PT_DIFFERENTIATION_VTAR,MATCH(A152,PT_DIFFERENTIATION_VTAR_ID,0))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2" s="2428" t="str">
        <f>INDEX(PT_DIFFERENTIATION_NTAR,MATCH(B152,PT_DIFFERENTIATION_NTAR_ID,0))</f>
        <v/>
      </c>
      <c r="H152" s="1863"/>
      <c r="I152" s="1740"/>
      <c r="J152" s="1774"/>
      <c r="K152" s="1779"/>
      <c r="L152" s="1863" t="s">
        <v>339</v>
      </c>
      <c r="M152"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52" s="335"/>
      <c r="O152" s="1625"/>
      <c r="P152" s="1625"/>
      <c r="AH152" s="1632">
        <v>0</v>
      </c>
    </row>
    <row s="1636" customFormat="1" customHeight="1" ht="18.75" hidden="1">
      <c r="A153" s="1781"/>
      <c r="B153" s="1781"/>
      <c r="C153" s="370" t="s">
        <v>1185</v>
      </c>
      <c r="D153" s="2463"/>
      <c r="E153" s="2205"/>
      <c r="F153" s="2384"/>
      <c r="G153" s="2428"/>
      <c r="H153" s="1501"/>
      <c r="I153" s="652" t="s">
        <v>1184</v>
      </c>
      <c r="J153" s="572"/>
      <c r="K153" s="1501"/>
      <c r="L153" s="215"/>
      <c r="M153" s="2171"/>
      <c r="N153" s="335"/>
      <c r="O153" s="1625"/>
      <c r="P153" s="1625"/>
      <c r="AH153" s="1632">
        <v>0</v>
      </c>
    </row>
    <row s="1636" customFormat="1" customHeight="1" ht="0.75" hidden="1">
      <c r="A154" s="1781"/>
      <c r="B154" s="1781"/>
      <c r="C154" s="370" t="s">
        <v>1192</v>
      </c>
      <c r="D154" s="2463"/>
      <c r="E154" s="2205"/>
      <c r="F154" s="2384"/>
      <c r="G154" s="401"/>
      <c r="H154" s="1501"/>
      <c r="I154" s="652"/>
      <c r="J154" s="572"/>
      <c r="K154" s="1501"/>
      <c r="L154" s="215"/>
      <c r="M154" s="2171"/>
      <c r="N154" s="335"/>
      <c r="O154" s="1625"/>
      <c r="P154" s="1625"/>
      <c r="AH154" s="1632">
        <v>0</v>
      </c>
    </row>
    <row s="1636" customFormat="1" customHeight="1" ht="45" hidden="1">
      <c r="A155" s="1781" t="s">
        <v>175</v>
      </c>
      <c r="B155" s="1781" t="s">
        <v>176</v>
      </c>
      <c r="C155" s="370"/>
      <c r="D155" s="2463"/>
      <c r="E155" s="2205"/>
      <c r="F155" s="2384" t="str">
        <f>INDEX(PT_DIFFERENTIATION_VTAR,MATCH(A155,PT_DIFFERENTIATION_VTAR_ID,0))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5" s="2428" t="str">
        <f>INDEX(PT_DIFFERENTIATION_NTAR,MATCH(B155,PT_DIFFERENTIATION_NTAR_ID,0))</f>
        <v/>
      </c>
      <c r="H155" s="1863"/>
      <c r="I155" s="1740"/>
      <c r="J155" s="1774"/>
      <c r="K155" s="1779"/>
      <c r="L155" s="1863" t="s">
        <v>339</v>
      </c>
      <c r="M155" s="2172"/>
      <c r="N155" s="335"/>
      <c r="O155" s="1625"/>
      <c r="P155" s="1625"/>
      <c r="AH155" s="1632">
        <v>0</v>
      </c>
    </row>
    <row s="1636" customFormat="1" customHeight="1" ht="18.75" hidden="1">
      <c r="A156" s="1781"/>
      <c r="B156" s="1781"/>
      <c r="C156" s="370" t="s">
        <v>1185</v>
      </c>
      <c r="D156" s="2463"/>
      <c r="E156" s="2205"/>
      <c r="F156" s="2384"/>
      <c r="G156" s="2428"/>
      <c r="H156" s="1501"/>
      <c r="I156" s="652" t="s">
        <v>1184</v>
      </c>
      <c r="J156" s="572"/>
      <c r="K156" s="1501"/>
      <c r="L156" s="215"/>
      <c r="M156" s="1862"/>
      <c r="N156" s="335"/>
      <c r="O156" s="1625"/>
      <c r="P156" s="1625"/>
      <c r="AH156" s="1632">
        <v>0</v>
      </c>
    </row>
    <row s="1636" customFormat="1" customHeight="1" ht="0.75" hidden="1">
      <c r="A157" s="1781"/>
      <c r="B157" s="1781"/>
      <c r="C157" s="370" t="s">
        <v>1192</v>
      </c>
      <c r="D157" s="2463"/>
      <c r="E157" s="2205"/>
      <c r="F157" s="2384"/>
      <c r="G157" s="401"/>
      <c r="H157" s="1501"/>
      <c r="I157" s="652"/>
      <c r="J157" s="572"/>
      <c r="K157" s="1501"/>
      <c r="L157" s="215"/>
      <c r="M157" s="342"/>
      <c r="N157" s="335"/>
      <c r="O157" s="1625"/>
      <c r="P157" s="1625"/>
      <c r="AH157" s="1632">
        <v>0</v>
      </c>
    </row>
    <row s="1636" customFormat="1" customHeight="1" ht="45" hidden="1">
      <c r="A158" s="1781" t="s">
        <v>181</v>
      </c>
      <c r="B158" s="1781" t="s">
        <v>182</v>
      </c>
      <c r="C158" s="370"/>
      <c r="D158" s="2463"/>
      <c r="E158" s="2205"/>
      <c r="F158" s="2384" t="str">
        <f>INDEX(PT_DIFFERENTIATION_VTAR,MATCH(A158,PT_DIFFERENTIATION_VTAR_ID,0))</f>
        <v>Тарифы на теплоноситель, поставляемый теплоснабжающими организациями потребителям, другим теплоснабжающим организациям</v>
      </c>
      <c r="G158" s="2428" t="str">
        <f>INDEX(PT_DIFFERENTIATION_NTAR,MATCH(B158,PT_DIFFERENTIATION_NTAR_ID,0))</f>
        <v/>
      </c>
      <c r="H158" s="1863"/>
      <c r="I158" s="1740"/>
      <c r="J158" s="1774"/>
      <c r="K158" s="1779"/>
      <c r="L158" s="1863" t="s">
        <v>339</v>
      </c>
      <c r="M158" s="342"/>
      <c r="N158" s="335"/>
      <c r="O158" s="1625"/>
      <c r="P158" s="1625"/>
      <c r="AH158" s="1632">
        <v>0</v>
      </c>
    </row>
    <row s="1636" customFormat="1" customHeight="1" ht="18.75" hidden="1">
      <c r="A159" s="1781"/>
      <c r="B159" s="1781"/>
      <c r="C159" s="370" t="s">
        <v>1185</v>
      </c>
      <c r="D159" s="2463"/>
      <c r="E159" s="2205"/>
      <c r="F159" s="2384"/>
      <c r="G159" s="2428"/>
      <c r="H159" s="1501"/>
      <c r="I159" s="652" t="s">
        <v>1184</v>
      </c>
      <c r="J159" s="572"/>
      <c r="K159" s="1501"/>
      <c r="L159" s="215"/>
      <c r="M159" s="342"/>
      <c r="N159" s="335"/>
      <c r="O159" s="1625"/>
      <c r="P159" s="1625"/>
      <c r="AH159" s="1632">
        <v>0</v>
      </c>
    </row>
    <row s="1636" customFormat="1" customHeight="1" ht="0.75" hidden="1">
      <c r="A160" s="1781"/>
      <c r="B160" s="1781"/>
      <c r="C160" s="370" t="s">
        <v>1192</v>
      </c>
      <c r="D160" s="2463"/>
      <c r="E160" s="2205"/>
      <c r="F160" s="2384"/>
      <c r="G160" s="401"/>
      <c r="H160" s="1501"/>
      <c r="I160" s="652"/>
      <c r="J160" s="572"/>
      <c r="K160" s="1501"/>
      <c r="L160" s="215"/>
      <c r="M160" s="342"/>
      <c r="N160" s="335"/>
      <c r="O160" s="1625"/>
      <c r="P160" s="1625"/>
      <c r="AH160" s="1632">
        <v>0</v>
      </c>
    </row>
    <row s="1636" customFormat="1" customHeight="1" ht="45" hidden="1">
      <c r="A161" s="1781" t="s">
        <v>187</v>
      </c>
      <c r="B161" s="1781" t="s">
        <v>188</v>
      </c>
      <c r="C161" s="370"/>
      <c r="D161" s="2463"/>
      <c r="E161" s="2205"/>
      <c r="F161" s="2384" t="str">
        <f>INDEX(PT_DIFFERENTIATION_VTAR,MATCH(A161,PT_DIFFERENTIATION_VTAR_ID,0))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1" s="2428" t="str">
        <f>INDEX(PT_DIFFERENTIATION_NTAR,MATCH(B161,PT_DIFFERENTIATION_NTAR_ID,0))</f>
        <v/>
      </c>
      <c r="H161" s="1863"/>
      <c r="I161" s="1740"/>
      <c r="J161" s="1774"/>
      <c r="K161" s="1779"/>
      <c r="L161" s="1863" t="s">
        <v>339</v>
      </c>
      <c r="M161" s="342"/>
      <c r="N161" s="335"/>
      <c r="O161" s="1625"/>
      <c r="P161" s="1625"/>
      <c r="AH161" s="1632">
        <v>0</v>
      </c>
    </row>
    <row s="1636" customFormat="1" customHeight="1" ht="18.75" hidden="1">
      <c r="A162" s="1781"/>
      <c r="B162" s="1781"/>
      <c r="C162" s="370" t="s">
        <v>1185</v>
      </c>
      <c r="D162" s="2463"/>
      <c r="E162" s="2205"/>
      <c r="F162" s="2384"/>
      <c r="G162" s="2428"/>
      <c r="H162" s="1501"/>
      <c r="I162" s="652" t="s">
        <v>1184</v>
      </c>
      <c r="J162" s="572"/>
      <c r="K162" s="1501"/>
      <c r="L162" s="215"/>
      <c r="M162" s="342"/>
      <c r="N162" s="335"/>
      <c r="O162" s="1625"/>
      <c r="P162" s="1625"/>
      <c r="AH162" s="1632">
        <v>0</v>
      </c>
    </row>
    <row s="1636" customFormat="1" customHeight="1" ht="0.75" hidden="1">
      <c r="A163" s="1781"/>
      <c r="B163" s="1781"/>
      <c r="C163" s="370" t="s">
        <v>1192</v>
      </c>
      <c r="D163" s="2463"/>
      <c r="E163" s="2205"/>
      <c r="F163" s="2384"/>
      <c r="G163" s="401"/>
      <c r="H163" s="1501"/>
      <c r="I163" s="652"/>
      <c r="J163" s="572"/>
      <c r="K163" s="1501"/>
      <c r="L163" s="215"/>
      <c r="M163" s="342"/>
      <c r="N163" s="335"/>
      <c r="O163" s="1625"/>
      <c r="P163" s="1625"/>
      <c r="AH163" s="1632">
        <v>0</v>
      </c>
    </row>
    <row s="1636" customFormat="1" customHeight="1" ht="18.75" hidden="1">
      <c r="A164" s="1781" t="s">
        <v>193</v>
      </c>
      <c r="B164" s="1781" t="s">
        <v>194</v>
      </c>
      <c r="C164" s="370"/>
      <c r="D164" s="2463"/>
      <c r="E164" s="2205"/>
      <c r="F164" s="2384" t="str">
        <f>INDEX(PT_DIFFERENTIATION_VTAR,MATCH(A164,PT_DIFFERENTIATION_VTAR_ID,0))</f>
        <v>Тарифы на услуги по передаче тепловой энергии</v>
      </c>
      <c r="G164" s="2428" t="str">
        <f>INDEX(PT_DIFFERENTIATION_NTAR,MATCH(B164,PT_DIFFERENTIATION_NTAR_ID,0))</f>
        <v/>
      </c>
      <c r="H164" s="1863"/>
      <c r="I164" s="1740"/>
      <c r="J164" s="1774"/>
      <c r="K164" s="1779"/>
      <c r="L164" s="1863" t="s">
        <v>339</v>
      </c>
      <c r="M164" s="342"/>
      <c r="N164" s="335"/>
      <c r="O164" s="1625"/>
      <c r="P164" s="1625"/>
      <c r="AH164" s="1632">
        <v>0</v>
      </c>
    </row>
    <row s="1636" customFormat="1" customHeight="1" ht="18.75" hidden="1">
      <c r="A165" s="1781"/>
      <c r="B165" s="1781"/>
      <c r="C165" s="370" t="s">
        <v>1185</v>
      </c>
      <c r="D165" s="2463"/>
      <c r="E165" s="2205"/>
      <c r="F165" s="2384"/>
      <c r="G165" s="2428"/>
      <c r="H165" s="1501"/>
      <c r="I165" s="652" t="s">
        <v>1184</v>
      </c>
      <c r="J165" s="572"/>
      <c r="K165" s="1501"/>
      <c r="L165" s="215"/>
      <c r="M165" s="342"/>
      <c r="N165" s="335"/>
      <c r="O165" s="1625"/>
      <c r="P165" s="1625"/>
      <c r="AH165" s="1632">
        <v>0</v>
      </c>
    </row>
    <row s="1636" customFormat="1" customHeight="1" ht="0.75" hidden="1">
      <c r="A166" s="1781"/>
      <c r="B166" s="1781"/>
      <c r="C166" s="370" t="s">
        <v>1192</v>
      </c>
      <c r="D166" s="2463"/>
      <c r="E166" s="2205"/>
      <c r="F166" s="2384"/>
      <c r="G166" s="401"/>
      <c r="H166" s="1501"/>
      <c r="I166" s="652"/>
      <c r="J166" s="572"/>
      <c r="K166" s="1501"/>
      <c r="L166" s="215"/>
      <c r="M166" s="342"/>
      <c r="N166" s="335"/>
      <c r="O166" s="1625"/>
      <c r="P166" s="1625"/>
      <c r="AH166" s="1632">
        <v>0</v>
      </c>
    </row>
    <row s="1636" customFormat="1" customHeight="1" ht="18.75" hidden="1">
      <c r="A167" s="1781" t="s">
        <v>199</v>
      </c>
      <c r="B167" s="1781" t="s">
        <v>200</v>
      </c>
      <c r="C167" s="370"/>
      <c r="D167" s="2463"/>
      <c r="E167" s="2205"/>
      <c r="F167" s="2384" t="str">
        <f>INDEX(PT_DIFFERENTIATION_VTAR,MATCH(A167,PT_DIFFERENTIATION_VTAR_ID,0))</f>
        <v>Тарифы на услуги по передаче теплоносителя</v>
      </c>
      <c r="G167" s="2428" t="str">
        <f>INDEX(PT_DIFFERENTIATION_NTAR,MATCH(B167,PT_DIFFERENTIATION_NTAR_ID,0))</f>
        <v/>
      </c>
      <c r="H167" s="1863"/>
      <c r="I167" s="1740"/>
      <c r="J167" s="1774"/>
      <c r="K167" s="1779"/>
      <c r="L167" s="1863" t="s">
        <v>339</v>
      </c>
      <c r="M167" s="342"/>
      <c r="N167" s="335"/>
      <c r="O167" s="1625"/>
      <c r="P167" s="1625"/>
      <c r="AH167" s="1632">
        <v>0</v>
      </c>
    </row>
    <row s="1636" customFormat="1" customHeight="1" ht="18.75" hidden="1">
      <c r="A168" s="1781"/>
      <c r="B168" s="1781"/>
      <c r="C168" s="370" t="s">
        <v>1185</v>
      </c>
      <c r="D168" s="2463"/>
      <c r="E168" s="2205"/>
      <c r="F168" s="2384"/>
      <c r="G168" s="2428"/>
      <c r="H168" s="1501"/>
      <c r="I168" s="652" t="s">
        <v>1184</v>
      </c>
      <c r="J168" s="572"/>
      <c r="K168" s="1501"/>
      <c r="L168" s="215"/>
      <c r="M168" s="342"/>
      <c r="N168" s="335"/>
      <c r="O168" s="1625"/>
      <c r="P168" s="1625"/>
      <c r="AH168" s="1632">
        <v>0</v>
      </c>
    </row>
    <row s="1636" customFormat="1" customHeight="1" ht="0.75" hidden="1">
      <c r="A169" s="1781"/>
      <c r="B169" s="1781"/>
      <c r="C169" s="370" t="s">
        <v>1192</v>
      </c>
      <c r="D169" s="2463"/>
      <c r="E169" s="2205"/>
      <c r="F169" s="2384"/>
      <c r="G169" s="401"/>
      <c r="H169" s="1501"/>
      <c r="I169" s="652"/>
      <c r="J169" s="572"/>
      <c r="K169" s="1501"/>
      <c r="L169" s="215"/>
      <c r="M169" s="342"/>
      <c r="N169" s="335"/>
      <c r="O169" s="1625"/>
      <c r="P169" s="1625"/>
      <c r="AH169" s="1632">
        <v>0</v>
      </c>
    </row>
    <row s="1636" customFormat="1" customHeight="1" ht="18.75" hidden="1">
      <c r="A170" s="1781" t="s">
        <v>205</v>
      </c>
      <c r="B170" s="1781" t="s">
        <v>206</v>
      </c>
      <c r="C170" s="370"/>
      <c r="D170" s="2463"/>
      <c r="E170" s="2205"/>
      <c r="F170" s="2384" t="str">
        <f>INDEX(PT_DIFFERENTIATION_VTAR,MATCH(A170,PT_DIFFERENTIATION_VTAR_ID,0))</f>
        <v>Плата за услуги по поддержанию резервной тепловой мощности при отсутствии потребления тепловой энергии</v>
      </c>
      <c r="G170" s="2428" t="str">
        <f>INDEX(PT_DIFFERENTIATION_NTAR,MATCH(B170,PT_DIFFERENTIATION_NTAR_ID,0))</f>
        <v/>
      </c>
      <c r="H170" s="1863"/>
      <c r="I170" s="1740"/>
      <c r="J170" s="1774"/>
      <c r="K170" s="1779"/>
      <c r="L170" s="1863" t="s">
        <v>339</v>
      </c>
      <c r="M170" s="342"/>
      <c r="N170" s="335"/>
      <c r="O170" s="1625"/>
      <c r="P170" s="1625"/>
      <c r="AH170" s="1632">
        <v>0</v>
      </c>
    </row>
    <row s="1636" customFormat="1" customHeight="1" ht="18.75" hidden="1">
      <c r="A171" s="1781"/>
      <c r="B171" s="1781"/>
      <c r="C171" s="370" t="s">
        <v>1185</v>
      </c>
      <c r="D171" s="2463"/>
      <c r="E171" s="2205"/>
      <c r="F171" s="2384"/>
      <c r="G171" s="2428"/>
      <c r="H171" s="1501"/>
      <c r="I171" s="652" t="s">
        <v>1184</v>
      </c>
      <c r="J171" s="572"/>
      <c r="K171" s="1501"/>
      <c r="L171" s="215"/>
      <c r="M171" s="342"/>
      <c r="N171" s="335"/>
      <c r="O171" s="1625"/>
      <c r="P171" s="1625"/>
      <c r="AH171" s="1632">
        <v>0</v>
      </c>
    </row>
    <row s="1636" customFormat="1" customHeight="1" ht="0.75" hidden="1">
      <c r="A172" s="1781"/>
      <c r="B172" s="1781"/>
      <c r="C172" s="370" t="s">
        <v>1192</v>
      </c>
      <c r="D172" s="2463"/>
      <c r="E172" s="2205"/>
      <c r="F172" s="2384"/>
      <c r="G172" s="401"/>
      <c r="H172" s="1501"/>
      <c r="I172" s="652"/>
      <c r="J172" s="572"/>
      <c r="K172" s="1501"/>
      <c r="L172" s="215"/>
      <c r="M172" s="342"/>
      <c r="N172" s="335"/>
      <c r="O172" s="1625"/>
      <c r="P172" s="1625"/>
      <c r="AH172" s="1632">
        <v>0</v>
      </c>
    </row>
    <row s="1636" customFormat="1" customHeight="1" ht="18.75" hidden="1">
      <c r="A173" s="1781" t="s">
        <v>213</v>
      </c>
      <c r="B173" s="1781" t="s">
        <v>214</v>
      </c>
      <c r="C173" s="370"/>
      <c r="D173" s="2463"/>
      <c r="E173" s="2205"/>
      <c r="F173" s="2384" t="str">
        <f>INDEX(PT_DIFFERENTIATION_VTAR,MATCH(A173,PT_DIFFERENTIATION_VTAR_ID,0))</f>
        <v>Плата за подключение (технологическое присоединение) к системе теплоснабжения</v>
      </c>
      <c r="G173" s="2428" t="str">
        <f>INDEX(PT_DIFFERENTIATION_NTAR,MATCH(B173,PT_DIFFERENTIATION_NTAR_ID,0))</f>
        <v>Расходы на проведение мероприятий по подключению объектов заявителей</v>
      </c>
      <c r="H173" s="1863"/>
      <c r="I173" s="1740"/>
      <c r="J173" s="1774"/>
      <c r="K173" s="1779"/>
      <c r="L173" s="1863" t="s">
        <v>339</v>
      </c>
      <c r="M173" s="342"/>
      <c r="N173" s="335"/>
      <c r="O173" s="1625"/>
      <c r="P173" s="1625"/>
      <c r="AH173" s="1632">
        <v>0</v>
      </c>
    </row>
    <row s="1636" customFormat="1" customHeight="1" ht="18.75" hidden="1">
      <c r="A174" s="1781"/>
      <c r="B174" s="1781"/>
      <c r="C174" s="370" t="s">
        <v>1185</v>
      </c>
      <c r="D174" s="2463"/>
      <c r="E174" s="2205"/>
      <c r="F174" s="2384"/>
      <c r="G174" s="2428"/>
      <c r="H174" s="1501"/>
      <c r="I174" s="652" t="s">
        <v>1184</v>
      </c>
      <c r="J174" s="572"/>
      <c r="K174" s="1501"/>
      <c r="L174" s="215"/>
      <c r="M174" s="342"/>
      <c r="N174" s="335"/>
      <c r="O174" s="1625"/>
      <c r="P174" s="1625"/>
      <c r="AH174" s="1632">
        <v>0</v>
      </c>
    </row>
    <row s="1636" customFormat="1" customHeight="1" ht="18.75">
      <c r="A175" s="1824" t="s">
        <v>213</v>
      </c>
      <c r="B175" s="1824" t="s">
        <v>229</v>
      </c>
      <c r="C175" s="1688"/>
      <c r="D175" s="345"/>
      <c r="E175" s="1032"/>
      <c r="F175" s="1032"/>
      <c r="G175" s="2428" t="str">
        <f>INDEX(PT_DIFFERENTIATION_NTAR,MATCH(B175,PT_DIFFERENTIATION_NTAR_ID,0))</f>
        <v>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 в расчете на единицу мощности подключаемой нагрузки. Подземная бесканальная прокладка до 250 мм</v>
      </c>
      <c r="H175" s="2272"/>
      <c r="I175" s="1740"/>
      <c r="J175" s="1774"/>
      <c r="K175" s="1779"/>
      <c r="L175" s="2272" t="s">
        <v>339</v>
      </c>
      <c r="M175" s="2319"/>
      <c r="N175" s="619"/>
      <c r="O175" s="1625"/>
      <c r="P175" s="1625"/>
      <c r="Q175" s="1636"/>
      <c r="R175" s="1636"/>
      <c r="S175" s="1636"/>
      <c r="T175" s="1636"/>
      <c r="U175" s="1636"/>
      <c r="V175" s="1636"/>
      <c r="W175" s="1636"/>
      <c r="X175" s="1636"/>
      <c r="Y175" s="1636"/>
      <c r="Z175" s="1636"/>
      <c r="AA175" s="1636"/>
      <c r="AB175" s="1636"/>
      <c r="AC175" s="1636"/>
      <c r="AD175" s="1636"/>
      <c r="AE175" s="1636"/>
      <c r="AF175" s="1636"/>
      <c r="AG175" s="1636"/>
      <c r="AH175" s="1636">
        <v>0</v>
      </c>
    </row>
    <row s="1636" customFormat="1" customHeight="1" ht="18.75">
      <c r="A176" s="1824"/>
      <c r="B176" s="1824"/>
      <c r="C176" s="1688" t="s">
        <v>1185</v>
      </c>
      <c r="D176" s="345"/>
      <c r="E176" s="1032"/>
      <c r="F176" s="1032"/>
      <c r="G176" s="2428"/>
      <c r="H176" s="2834"/>
      <c r="I176" s="2835" t="s">
        <v>1184</v>
      </c>
      <c r="J176" s="2836"/>
      <c r="K176" s="2837"/>
      <c r="L176" s="2838"/>
      <c r="M176" s="2319"/>
      <c r="N176" s="619"/>
      <c r="O176" s="1625"/>
      <c r="P176" s="1625"/>
      <c r="Q176" s="1636"/>
      <c r="R176" s="1636"/>
      <c r="S176" s="1636"/>
      <c r="T176" s="1636"/>
      <c r="U176" s="1636"/>
      <c r="V176" s="1636"/>
      <c r="W176" s="1636"/>
      <c r="X176" s="1636"/>
      <c r="Y176" s="1636"/>
      <c r="Z176" s="1636"/>
      <c r="AA176" s="1636"/>
      <c r="AB176" s="1636"/>
      <c r="AC176" s="1636"/>
      <c r="AD176" s="1636"/>
      <c r="AE176" s="1636"/>
      <c r="AF176" s="1636"/>
      <c r="AG176" s="1636"/>
      <c r="AH176" s="1636">
        <v>0</v>
      </c>
    </row>
    <row s="1636" customFormat="1" customHeight="1" ht="0.75" hidden="1">
      <c r="A177" s="1781"/>
      <c r="B177" s="1781"/>
      <c r="C177" s="370" t="s">
        <v>1192</v>
      </c>
      <c r="D177" s="2463"/>
      <c r="E177" s="2205"/>
      <c r="F177" s="2384"/>
      <c r="G177" s="401"/>
      <c r="H177" s="1501"/>
      <c r="I177" s="652"/>
      <c r="J177" s="572"/>
      <c r="K177" s="1501"/>
      <c r="L177" s="215"/>
      <c r="M177" s="342"/>
      <c r="N177" s="335"/>
      <c r="O177" s="1625"/>
      <c r="P177" s="1625"/>
      <c r="AH177" s="1632">
        <v>0</v>
      </c>
    </row>
    <row s="1636" customFormat="1" customHeight="1" ht="18.75" hidden="1">
      <c r="A178" s="1781" t="s">
        <v>238</v>
      </c>
      <c r="B178" s="1781" t="s">
        <v>239</v>
      </c>
      <c r="C178" s="370"/>
      <c r="D178" s="2463"/>
      <c r="E178" s="2205"/>
      <c r="F178" s="2384" t="str">
        <f>INDEX(PT_DIFFERENTIATION_VTAR,MATCH(A178,PT_DIFFERENTIATION_VTAR_ID,0))</f>
        <v>Плата за подключение (технологическое присоединение) к системе теплоснабжения (индивидуальная)</v>
      </c>
      <c r="G178" s="2428" t="str">
        <f>INDEX(PT_DIFFERENTIATION_NTAR,MATCH(B178,PT_DIFFERENTIATION_NTAR_ID,0))</f>
        <v/>
      </c>
      <c r="H178" s="1990"/>
      <c r="I178" s="1740"/>
      <c r="J178" s="1774"/>
      <c r="K178" s="1779"/>
      <c r="L178" s="1990" t="s">
        <v>339</v>
      </c>
      <c r="M178" s="342"/>
      <c r="N178" s="335"/>
      <c r="O178" s="1625"/>
      <c r="P178" s="1625"/>
      <c r="AH178" s="1632">
        <v>0</v>
      </c>
    </row>
    <row s="1636" customFormat="1" customHeight="1" ht="18.75" hidden="1">
      <c r="A179" s="1781"/>
      <c r="B179" s="1781"/>
      <c r="C179" s="370" t="s">
        <v>1185</v>
      </c>
      <c r="D179" s="2463"/>
      <c r="E179" s="2205"/>
      <c r="F179" s="2384"/>
      <c r="G179" s="2428"/>
      <c r="H179" s="1501"/>
      <c r="I179" s="652" t="s">
        <v>1184</v>
      </c>
      <c r="J179" s="572"/>
      <c r="K179" s="1501"/>
      <c r="L179" s="215"/>
      <c r="M179" s="342"/>
      <c r="N179" s="335"/>
      <c r="O179" s="1625"/>
      <c r="P179" s="1625"/>
      <c r="AH179" s="1632">
        <v>0</v>
      </c>
    </row>
    <row s="1636" customFormat="1" customHeight="1" ht="0.75" hidden="1">
      <c r="A180" s="1781"/>
      <c r="B180" s="1781"/>
      <c r="C180" s="370" t="s">
        <v>1192</v>
      </c>
      <c r="D180" s="2463"/>
      <c r="E180" s="2205"/>
      <c r="F180" s="2384"/>
      <c r="G180" s="401"/>
      <c r="H180" s="1501"/>
      <c r="I180" s="652"/>
      <c r="J180" s="572"/>
      <c r="K180" s="1501"/>
      <c r="L180" s="215"/>
      <c r="M180" s="342"/>
      <c r="N180" s="335"/>
      <c r="O180" s="1625"/>
      <c r="P180" s="1625"/>
      <c r="AH180" s="1632">
        <v>0</v>
      </c>
    </row>
    <row s="1636" customFormat="1" customHeight="1" ht="18.75" hidden="1">
      <c r="A181" s="1781" t="s">
        <v>258</v>
      </c>
      <c r="B181" s="1781" t="s">
        <v>259</v>
      </c>
      <c r="C181" s="370"/>
      <c r="D181" s="2463"/>
      <c r="E181" s="2205"/>
      <c r="F181" s="2384" t="str">
        <f>INDEX(PT_DIFFERENTIATION_VTAR,MATCH(A181,PT_DIFFERENTIATION_VTAR_ID,0))</f>
        <v>Тариф на питьевую воду (питьевое водоснабжение)</v>
      </c>
      <c r="G181" s="2428" t="str">
        <f>INDEX(PT_DIFFERENTIATION_NTAR,MATCH(B181,PT_DIFFERENTIATION_NTAR_ID,0))</f>
        <v/>
      </c>
      <c r="H181" s="1863"/>
      <c r="I181" s="1740"/>
      <c r="J181" s="1774"/>
      <c r="K181" s="1779"/>
      <c r="L181" s="1863" t="s">
        <v>339</v>
      </c>
      <c r="M181" s="342"/>
      <c r="N181" s="335"/>
      <c r="O181" s="1625"/>
      <c r="P181" s="1625"/>
      <c r="AH181" s="1632">
        <v>0</v>
      </c>
    </row>
    <row s="1636" customFormat="1" customHeight="1" ht="18.75" hidden="1">
      <c r="A182" s="1781"/>
      <c r="B182" s="1781"/>
      <c r="C182" s="370" t="s">
        <v>1185</v>
      </c>
      <c r="D182" s="2463"/>
      <c r="E182" s="2205"/>
      <c r="F182" s="2384"/>
      <c r="G182" s="2428"/>
      <c r="H182" s="1501"/>
      <c r="I182" s="652" t="s">
        <v>1184</v>
      </c>
      <c r="J182" s="572"/>
      <c r="K182" s="1501"/>
      <c r="L182" s="215"/>
      <c r="M182" s="342"/>
      <c r="N182" s="335"/>
      <c r="O182" s="1625"/>
      <c r="P182" s="1625"/>
      <c r="AH182" s="1632">
        <v>0</v>
      </c>
    </row>
    <row s="1636" customFormat="1" customHeight="1" ht="0.75" hidden="1">
      <c r="A183" s="1781"/>
      <c r="B183" s="1781"/>
      <c r="C183" s="370" t="s">
        <v>1192</v>
      </c>
      <c r="D183" s="2463"/>
      <c r="E183" s="2205"/>
      <c r="F183" s="2384"/>
      <c r="G183" s="401"/>
      <c r="H183" s="1501"/>
      <c r="I183" s="652"/>
      <c r="J183" s="572"/>
      <c r="K183" s="1501"/>
      <c r="L183" s="215"/>
      <c r="M183" s="342"/>
      <c r="N183" s="335"/>
      <c r="O183" s="1625"/>
      <c r="P183" s="1625"/>
      <c r="AH183" s="1632">
        <v>0</v>
      </c>
    </row>
    <row s="1636" customFormat="1" customHeight="1" ht="18.75" hidden="1">
      <c r="A184" s="1781" t="s">
        <v>263</v>
      </c>
      <c r="B184" s="1781" t="s">
        <v>264</v>
      </c>
      <c r="C184" s="370"/>
      <c r="D184" s="2463"/>
      <c r="E184" s="2205"/>
      <c r="F184" s="2384" t="str">
        <f>INDEX(PT_DIFFERENTIATION_VTAR,MATCH(A184,PT_DIFFERENTIATION_VTAR_ID,0))</f>
        <v>Тариф на техническую воду</v>
      </c>
      <c r="G184" s="2428" t="str">
        <f>INDEX(PT_DIFFERENTIATION_NTAR,MATCH(B184,PT_DIFFERENTIATION_NTAR_ID,0))</f>
        <v/>
      </c>
      <c r="H184" s="1863"/>
      <c r="I184" s="1740"/>
      <c r="J184" s="1774"/>
      <c r="K184" s="1779"/>
      <c r="L184" s="1863" t="s">
        <v>339</v>
      </c>
      <c r="M184" s="342"/>
      <c r="N184" s="335"/>
      <c r="O184" s="1625"/>
      <c r="P184" s="1625"/>
      <c r="AH184" s="1632">
        <v>0</v>
      </c>
    </row>
    <row s="1636" customFormat="1" customHeight="1" ht="18.75" hidden="1">
      <c r="A185" s="1781"/>
      <c r="B185" s="1781"/>
      <c r="C185" s="370" t="s">
        <v>1185</v>
      </c>
      <c r="D185" s="2463"/>
      <c r="E185" s="2205"/>
      <c r="F185" s="2384"/>
      <c r="G185" s="2428"/>
      <c r="H185" s="1501"/>
      <c r="I185" s="652" t="s">
        <v>1184</v>
      </c>
      <c r="J185" s="572"/>
      <c r="K185" s="1501"/>
      <c r="L185" s="215"/>
      <c r="M185" s="342"/>
      <c r="N185" s="335"/>
      <c r="O185" s="1625"/>
      <c r="P185" s="1625"/>
      <c r="AH185" s="1632">
        <v>0</v>
      </c>
    </row>
    <row s="1636" customFormat="1" customHeight="1" ht="0.75" hidden="1">
      <c r="A186" s="1781"/>
      <c r="B186" s="1781"/>
      <c r="C186" s="370" t="s">
        <v>1192</v>
      </c>
      <c r="D186" s="2463"/>
      <c r="E186" s="2205"/>
      <c r="F186" s="2384"/>
      <c r="G186" s="401"/>
      <c r="H186" s="1501"/>
      <c r="I186" s="652"/>
      <c r="J186" s="572"/>
      <c r="K186" s="1501"/>
      <c r="L186" s="215"/>
      <c r="M186" s="342"/>
      <c r="N186" s="335"/>
      <c r="O186" s="1625"/>
      <c r="P186" s="1625"/>
      <c r="AH186" s="1632">
        <v>0</v>
      </c>
    </row>
    <row s="1636" customFormat="1" customHeight="1" ht="18.75" hidden="1">
      <c r="A187" s="1781" t="s">
        <v>268</v>
      </c>
      <c r="B187" s="1781" t="s">
        <v>269</v>
      </c>
      <c r="C187" s="370"/>
      <c r="D187" s="2463"/>
      <c r="E187" s="2205"/>
      <c r="F187" s="2384" t="str">
        <f>INDEX(PT_DIFFERENTIATION_VTAR,MATCH(A187,PT_DIFFERENTIATION_VTAR_ID,0))</f>
        <v>Тариф на транспортировку воды</v>
      </c>
      <c r="G187" s="2428" t="str">
        <f>INDEX(PT_DIFFERENTIATION_NTAR,MATCH(B187,PT_DIFFERENTIATION_NTAR_ID,0))</f>
        <v/>
      </c>
      <c r="H187" s="1863"/>
      <c r="I187" s="1740"/>
      <c r="J187" s="1774"/>
      <c r="K187" s="1779"/>
      <c r="L187" s="1863" t="s">
        <v>339</v>
      </c>
      <c r="M187" s="342"/>
      <c r="N187" s="335"/>
      <c r="O187" s="1625"/>
      <c r="P187" s="1625"/>
      <c r="AH187" s="1632">
        <v>0</v>
      </c>
    </row>
    <row s="1636" customFormat="1" customHeight="1" ht="18.75" hidden="1">
      <c r="A188" s="1781"/>
      <c r="B188" s="1781"/>
      <c r="C188" s="370" t="s">
        <v>1185</v>
      </c>
      <c r="D188" s="2463"/>
      <c r="E188" s="2205"/>
      <c r="F188" s="2384"/>
      <c r="G188" s="2428"/>
      <c r="H188" s="1501"/>
      <c r="I188" s="652" t="s">
        <v>1184</v>
      </c>
      <c r="J188" s="572"/>
      <c r="K188" s="1501"/>
      <c r="L188" s="215"/>
      <c r="M188" s="342"/>
      <c r="N188" s="335"/>
      <c r="O188" s="1625"/>
      <c r="P188" s="1625"/>
      <c r="AH188" s="1632">
        <v>0</v>
      </c>
    </row>
    <row s="1636" customFormat="1" customHeight="1" ht="0.75" hidden="1">
      <c r="A189" s="1781"/>
      <c r="B189" s="1781"/>
      <c r="C189" s="370" t="s">
        <v>1192</v>
      </c>
      <c r="D189" s="2463"/>
      <c r="E189" s="2205"/>
      <c r="F189" s="2384"/>
      <c r="G189" s="401"/>
      <c r="H189" s="1501"/>
      <c r="I189" s="652"/>
      <c r="J189" s="572"/>
      <c r="K189" s="1501"/>
      <c r="L189" s="215"/>
      <c r="M189" s="342"/>
      <c r="N189" s="335"/>
      <c r="O189" s="1625"/>
      <c r="P189" s="1625"/>
      <c r="AH189" s="1632">
        <v>0</v>
      </c>
    </row>
    <row s="1636" customFormat="1" customHeight="1" ht="18.75" hidden="1">
      <c r="A190" s="1781" t="s">
        <v>273</v>
      </c>
      <c r="B190" s="1781" t="s">
        <v>274</v>
      </c>
      <c r="C190" s="370"/>
      <c r="D190" s="2463"/>
      <c r="E190" s="2205"/>
      <c r="F190" s="2384" t="str">
        <f>INDEX(PT_DIFFERENTIATION_VTAR,MATCH(A190,PT_DIFFERENTIATION_VTAR_ID,0))</f>
        <v>Тариф на подвоз воды</v>
      </c>
      <c r="G190" s="2428" t="str">
        <f>INDEX(PT_DIFFERENTIATION_NTAR,MATCH(B190,PT_DIFFERENTIATION_NTAR_ID,0))</f>
        <v/>
      </c>
      <c r="H190" s="1863"/>
      <c r="I190" s="1740"/>
      <c r="J190" s="1774"/>
      <c r="K190" s="1779"/>
      <c r="L190" s="1863" t="s">
        <v>339</v>
      </c>
      <c r="M190" s="342"/>
      <c r="N190" s="335"/>
      <c r="O190" s="1625"/>
      <c r="P190" s="1625"/>
      <c r="AH190" s="1632">
        <v>0</v>
      </c>
    </row>
    <row s="1636" customFormat="1" customHeight="1" ht="18.75" hidden="1">
      <c r="A191" s="1781"/>
      <c r="B191" s="1781"/>
      <c r="C191" s="370" t="s">
        <v>1185</v>
      </c>
      <c r="D191" s="2463"/>
      <c r="E191" s="2205"/>
      <c r="F191" s="2384"/>
      <c r="G191" s="2428"/>
      <c r="H191" s="1501"/>
      <c r="I191" s="652" t="s">
        <v>1184</v>
      </c>
      <c r="J191" s="572"/>
      <c r="K191" s="1501"/>
      <c r="L191" s="215"/>
      <c r="M191" s="342"/>
      <c r="N191" s="335"/>
      <c r="O191" s="1625"/>
      <c r="P191" s="1625"/>
      <c r="AH191" s="1632">
        <v>0</v>
      </c>
    </row>
    <row s="1636" customFormat="1" customHeight="1" ht="0.75" hidden="1">
      <c r="A192" s="1781"/>
      <c r="B192" s="1781"/>
      <c r="C192" s="370" t="s">
        <v>1192</v>
      </c>
      <c r="D192" s="2463"/>
      <c r="E192" s="2205"/>
      <c r="F192" s="2384"/>
      <c r="G192" s="401"/>
      <c r="H192" s="1501"/>
      <c r="I192" s="652"/>
      <c r="J192" s="572"/>
      <c r="K192" s="1501"/>
      <c r="L192" s="215"/>
      <c r="M192" s="342"/>
      <c r="N192" s="335"/>
      <c r="O192" s="1625"/>
      <c r="P192" s="1625"/>
      <c r="AH192" s="1632">
        <v>0</v>
      </c>
    </row>
    <row s="1636" customFormat="1" customHeight="1" ht="18.75" hidden="1">
      <c r="A193" s="1781" t="s">
        <v>278</v>
      </c>
      <c r="B193" s="1781" t="s">
        <v>279</v>
      </c>
      <c r="C193" s="370"/>
      <c r="D193" s="2463"/>
      <c r="E193" s="2205"/>
      <c r="F193" s="2384" t="str">
        <f>INDEX(PT_DIFFERENTIATION_VTAR,MATCH(A193,PT_DIFFERENTIATION_VTAR_ID,0))</f>
        <v>Тариф на подключение (технологическое присоединение) к централизованной системе холодного водоснабжения</v>
      </c>
      <c r="G193" s="2428" t="str">
        <f>INDEX(PT_DIFFERENTIATION_NTAR,MATCH(B193,PT_DIFFERENTIATION_NTAR_ID,0))</f>
        <v/>
      </c>
      <c r="H193" s="1863"/>
      <c r="I193" s="1740"/>
      <c r="J193" s="1774"/>
      <c r="K193" s="1779"/>
      <c r="L193" s="1863" t="s">
        <v>339</v>
      </c>
      <c r="M193" s="342"/>
      <c r="N193" s="335"/>
      <c r="O193" s="1625"/>
      <c r="P193" s="1625"/>
      <c r="AH193" s="1632">
        <v>0</v>
      </c>
    </row>
    <row s="1636" customFormat="1" customHeight="1" ht="18.75" hidden="1">
      <c r="A194" s="1781"/>
      <c r="B194" s="1781"/>
      <c r="C194" s="370" t="s">
        <v>1185</v>
      </c>
      <c r="D194" s="2463"/>
      <c r="E194" s="2205"/>
      <c r="F194" s="2384"/>
      <c r="G194" s="2428"/>
      <c r="H194" s="1501"/>
      <c r="I194" s="652" t="s">
        <v>1184</v>
      </c>
      <c r="J194" s="572"/>
      <c r="K194" s="1501"/>
      <c r="L194" s="215"/>
      <c r="M194" s="342"/>
      <c r="N194" s="335"/>
      <c r="O194" s="1625"/>
      <c r="P194" s="1625"/>
      <c r="AH194" s="1632">
        <v>0</v>
      </c>
    </row>
    <row s="1636" customFormat="1" customHeight="1" ht="0.75" hidden="1">
      <c r="A195" s="1781"/>
      <c r="B195" s="1781"/>
      <c r="C195" s="370" t="s">
        <v>1192</v>
      </c>
      <c r="D195" s="2463"/>
      <c r="E195" s="2205"/>
      <c r="F195" s="2384"/>
      <c r="G195" s="401"/>
      <c r="H195" s="1501"/>
      <c r="I195" s="652"/>
      <c r="J195" s="572"/>
      <c r="K195" s="1501"/>
      <c r="L195" s="215"/>
      <c r="M195" s="342"/>
      <c r="N195" s="335"/>
      <c r="O195" s="1625"/>
      <c r="P195" s="1625"/>
      <c r="AH195" s="1632">
        <v>0</v>
      </c>
    </row>
    <row s="1636" customFormat="1" customHeight="1" ht="18.75" hidden="1">
      <c r="A196" s="1781" t="s">
        <v>283</v>
      </c>
      <c r="B196" s="1781" t="s">
        <v>284</v>
      </c>
      <c r="C196" s="370"/>
      <c r="D196" s="2463"/>
      <c r="E196" s="2205"/>
      <c r="F196" s="2384" t="str">
        <f>INDEX(PT_DIFFERENTIATION_VTAR,MATCH(A196,PT_DIFFERENTIATION_VTAR_ID,0))</f>
        <v>Тариф на горячую воду (горячее водоснабжение)</v>
      </c>
      <c r="G196" s="2428" t="str">
        <f>INDEX(PT_DIFFERENTIATION_NTAR,MATCH(B196,PT_DIFFERENTIATION_NTAR_ID,0))</f>
        <v/>
      </c>
      <c r="H196" s="1863"/>
      <c r="I196" s="1740"/>
      <c r="J196" s="1774"/>
      <c r="K196" s="1779"/>
      <c r="L196" s="1863" t="s">
        <v>339</v>
      </c>
      <c r="M196" s="342"/>
      <c r="N196" s="335"/>
      <c r="O196" s="1625"/>
      <c r="P196" s="1625"/>
      <c r="AH196" s="1632">
        <v>0</v>
      </c>
    </row>
    <row s="1636" customFormat="1" customHeight="1" ht="18.75" hidden="1">
      <c r="A197" s="1781"/>
      <c r="B197" s="1781"/>
      <c r="C197" s="370" t="s">
        <v>1185</v>
      </c>
      <c r="D197" s="2463"/>
      <c r="E197" s="2205"/>
      <c r="F197" s="2384"/>
      <c r="G197" s="2428"/>
      <c r="H197" s="1501"/>
      <c r="I197" s="652" t="s">
        <v>1184</v>
      </c>
      <c r="J197" s="572"/>
      <c r="K197" s="1501"/>
      <c r="L197" s="215"/>
      <c r="M197" s="342"/>
      <c r="N197" s="335"/>
      <c r="O197" s="1625"/>
      <c r="P197" s="1625"/>
      <c r="AH197" s="1632">
        <v>0</v>
      </c>
    </row>
    <row s="1636" customFormat="1" customHeight="1" ht="0.75" hidden="1">
      <c r="A198" s="1781"/>
      <c r="B198" s="1781"/>
      <c r="C198" s="370" t="s">
        <v>1192</v>
      </c>
      <c r="D198" s="2463"/>
      <c r="E198" s="2205"/>
      <c r="F198" s="2384"/>
      <c r="G198" s="401"/>
      <c r="H198" s="1501"/>
      <c r="I198" s="652"/>
      <c r="J198" s="572"/>
      <c r="K198" s="1501"/>
      <c r="L198" s="215"/>
      <c r="M198" s="342"/>
      <c r="N198" s="335"/>
      <c r="O198" s="1625"/>
      <c r="P198" s="1625"/>
      <c r="AH198" s="1632">
        <v>0</v>
      </c>
    </row>
    <row s="1636" customFormat="1" customHeight="1" ht="18.75" hidden="1">
      <c r="A199" s="1781" t="s">
        <v>288</v>
      </c>
      <c r="B199" s="1781" t="s">
        <v>289</v>
      </c>
      <c r="C199" s="370"/>
      <c r="D199" s="2463"/>
      <c r="E199" s="2205"/>
      <c r="F199" s="2384" t="str">
        <f>INDEX(PT_DIFFERENTIATION_VTAR,MATCH(A199,PT_DIFFERENTIATION_VTAR_ID,0))</f>
        <v>Тариф на транспортировку горячей воды</v>
      </c>
      <c r="G199" s="2428" t="str">
        <f>INDEX(PT_DIFFERENTIATION_NTAR,MATCH(B199,PT_DIFFERENTIATION_NTAR_ID,0))</f>
        <v/>
      </c>
      <c r="H199" s="1863"/>
      <c r="I199" s="1740"/>
      <c r="J199" s="1774"/>
      <c r="K199" s="1779"/>
      <c r="L199" s="1863" t="s">
        <v>339</v>
      </c>
      <c r="M199" s="342"/>
      <c r="N199" s="335"/>
      <c r="O199" s="1625"/>
      <c r="P199" s="1625"/>
      <c r="AH199" s="1632">
        <v>0</v>
      </c>
    </row>
    <row s="1636" customFormat="1" customHeight="1" ht="18.75" hidden="1">
      <c r="A200" s="1781"/>
      <c r="B200" s="1781"/>
      <c r="C200" s="370" t="s">
        <v>1185</v>
      </c>
      <c r="D200" s="2463"/>
      <c r="E200" s="2205"/>
      <c r="F200" s="2384"/>
      <c r="G200" s="2428"/>
      <c r="H200" s="1501"/>
      <c r="I200" s="652" t="s">
        <v>1184</v>
      </c>
      <c r="J200" s="572"/>
      <c r="K200" s="1501"/>
      <c r="L200" s="215"/>
      <c r="M200" s="342"/>
      <c r="N200" s="335"/>
      <c r="O200" s="1625"/>
      <c r="P200" s="1625"/>
      <c r="AH200" s="1632">
        <v>0</v>
      </c>
    </row>
    <row s="1636" customFormat="1" customHeight="1" ht="0.75" hidden="1">
      <c r="A201" s="1781"/>
      <c r="B201" s="1781"/>
      <c r="C201" s="370" t="s">
        <v>1192</v>
      </c>
      <c r="D201" s="2463"/>
      <c r="E201" s="2205"/>
      <c r="F201" s="2384"/>
      <c r="G201" s="401"/>
      <c r="H201" s="1501"/>
      <c r="I201" s="652"/>
      <c r="J201" s="572"/>
      <c r="K201" s="1501"/>
      <c r="L201" s="215"/>
      <c r="M201" s="342"/>
      <c r="N201" s="335"/>
      <c r="O201" s="1625"/>
      <c r="P201" s="1625"/>
      <c r="AH201" s="1632">
        <v>0</v>
      </c>
    </row>
    <row s="1636" customFormat="1" customHeight="1" ht="18.75" hidden="1">
      <c r="A202" s="1781" t="s">
        <v>293</v>
      </c>
      <c r="B202" s="1781" t="s">
        <v>294</v>
      </c>
      <c r="C202" s="370"/>
      <c r="D202" s="2463"/>
      <c r="E202" s="2205"/>
      <c r="F202" s="2384" t="str">
        <f>INDEX(PT_DIFFERENTIATION_VTAR,MATCH(A202,PT_DIFFERENTIATION_VTAR_ID,0))</f>
        <v>Тариф на подключение (технологическое присоединение) к централизованной системе горячего водоснабжения</v>
      </c>
      <c r="G202" s="2428" t="str">
        <f>INDEX(PT_DIFFERENTIATION_NTAR,MATCH(B202,PT_DIFFERENTIATION_NTAR_ID,0))</f>
        <v/>
      </c>
      <c r="H202" s="1863"/>
      <c r="I202" s="1740"/>
      <c r="J202" s="1774"/>
      <c r="K202" s="1779"/>
      <c r="L202" s="1863" t="s">
        <v>339</v>
      </c>
      <c r="M202" s="342"/>
      <c r="N202" s="335"/>
      <c r="O202" s="1625"/>
      <c r="P202" s="1625"/>
      <c r="AH202" s="1632">
        <v>0</v>
      </c>
    </row>
    <row s="1636" customFormat="1" customHeight="1" ht="18.75" hidden="1">
      <c r="A203" s="1781"/>
      <c r="B203" s="1781"/>
      <c r="C203" s="370" t="s">
        <v>1185</v>
      </c>
      <c r="D203" s="2463"/>
      <c r="E203" s="2205"/>
      <c r="F203" s="2384"/>
      <c r="G203" s="2428"/>
      <c r="H203" s="1501"/>
      <c r="I203" s="652" t="s">
        <v>1184</v>
      </c>
      <c r="J203" s="572"/>
      <c r="K203" s="1501"/>
      <c r="L203" s="215"/>
      <c r="M203" s="342"/>
      <c r="N203" s="335"/>
      <c r="O203" s="1625"/>
      <c r="P203" s="1625"/>
      <c r="AH203" s="1632">
        <v>0</v>
      </c>
    </row>
    <row s="1636" customFormat="1" customHeight="1" ht="0.75" hidden="1">
      <c r="A204" s="1781"/>
      <c r="B204" s="1781"/>
      <c r="C204" s="370" t="s">
        <v>1192</v>
      </c>
      <c r="D204" s="2463"/>
      <c r="E204" s="2205"/>
      <c r="F204" s="2384"/>
      <c r="G204" s="401"/>
      <c r="H204" s="1501"/>
      <c r="I204" s="652"/>
      <c r="J204" s="572"/>
      <c r="K204" s="1501"/>
      <c r="L204" s="215"/>
      <c r="M204" s="342"/>
      <c r="N204" s="335"/>
      <c r="O204" s="1625"/>
      <c r="P204" s="1625"/>
      <c r="AH204" s="1632">
        <v>0</v>
      </c>
    </row>
    <row s="1636" customFormat="1" customHeight="1" ht="18.75" hidden="1">
      <c r="A205" s="1781" t="s">
        <v>298</v>
      </c>
      <c r="B205" s="1781" t="s">
        <v>299</v>
      </c>
      <c r="C205" s="370"/>
      <c r="D205" s="2463"/>
      <c r="E205" s="2205"/>
      <c r="F205" s="2384" t="str">
        <f>INDEX(PT_DIFFERENTIATION_VTAR,MATCH(A205,PT_DIFFERENTIATION_VTAR_ID,0))</f>
        <v>Тариф на водоотведение</v>
      </c>
      <c r="G205" s="2428" t="str">
        <f>INDEX(PT_DIFFERENTIATION_NTAR,MATCH(B205,PT_DIFFERENTIATION_NTAR_ID,0))</f>
        <v/>
      </c>
      <c r="H205" s="1863"/>
      <c r="I205" s="1740"/>
      <c r="J205" s="1774"/>
      <c r="K205" s="1779"/>
      <c r="L205" s="1863" t="s">
        <v>339</v>
      </c>
      <c r="M205" s="342"/>
      <c r="N205" s="335"/>
      <c r="O205" s="1625"/>
      <c r="P205" s="1625"/>
      <c r="AH205" s="1632">
        <v>0</v>
      </c>
    </row>
    <row s="1636" customFormat="1" customHeight="1" ht="18.75" hidden="1">
      <c r="A206" s="1781"/>
      <c r="B206" s="1781"/>
      <c r="C206" s="370" t="s">
        <v>1185</v>
      </c>
      <c r="D206" s="2463"/>
      <c r="E206" s="2205"/>
      <c r="F206" s="2384"/>
      <c r="G206" s="2428"/>
      <c r="H206" s="1501"/>
      <c r="I206" s="652" t="s">
        <v>1184</v>
      </c>
      <c r="J206" s="572"/>
      <c r="K206" s="1501"/>
      <c r="L206" s="215"/>
      <c r="M206" s="342"/>
      <c r="N206" s="335"/>
      <c r="O206" s="1625"/>
      <c r="P206" s="1625"/>
      <c r="AH206" s="1632">
        <v>0</v>
      </c>
    </row>
    <row s="1636" customFormat="1" customHeight="1" ht="0.75" hidden="1">
      <c r="A207" s="1781"/>
      <c r="B207" s="1781"/>
      <c r="C207" s="370" t="s">
        <v>1192</v>
      </c>
      <c r="D207" s="2463"/>
      <c r="E207" s="2205"/>
      <c r="F207" s="2384"/>
      <c r="G207" s="401"/>
      <c r="H207" s="1501"/>
      <c r="I207" s="652"/>
      <c r="J207" s="572"/>
      <c r="K207" s="1501"/>
      <c r="L207" s="215"/>
      <c r="M207" s="342"/>
      <c r="N207" s="335"/>
      <c r="O207" s="1625"/>
      <c r="P207" s="1625"/>
      <c r="AH207" s="1632">
        <v>0</v>
      </c>
    </row>
    <row s="1636" customFormat="1" customHeight="1" ht="18.75" hidden="1">
      <c r="A208" s="1781" t="s">
        <v>303</v>
      </c>
      <c r="B208" s="1781" t="s">
        <v>304</v>
      </c>
      <c r="C208" s="370"/>
      <c r="D208" s="2463"/>
      <c r="E208" s="2205"/>
      <c r="F208" s="2384" t="str">
        <f>INDEX(PT_DIFFERENTIATION_VTAR,MATCH(A208,PT_DIFFERENTIATION_VTAR_ID,0))</f>
        <v>Тариф на транспортировку сточных вод</v>
      </c>
      <c r="G208" s="2428" t="str">
        <f>INDEX(PT_DIFFERENTIATION_NTAR,MATCH(B208,PT_DIFFERENTIATION_NTAR_ID,0))</f>
        <v/>
      </c>
      <c r="H208" s="1863"/>
      <c r="I208" s="1740"/>
      <c r="J208" s="1774"/>
      <c r="K208" s="1779"/>
      <c r="L208" s="1863" t="s">
        <v>339</v>
      </c>
      <c r="M208" s="342"/>
      <c r="N208" s="335"/>
      <c r="O208" s="1625"/>
      <c r="P208" s="1625"/>
      <c r="AH208" s="1632">
        <v>0</v>
      </c>
    </row>
    <row s="1636" customFormat="1" customHeight="1" ht="18.75" hidden="1">
      <c r="A209" s="1781"/>
      <c r="B209" s="1781"/>
      <c r="C209" s="370" t="s">
        <v>1185</v>
      </c>
      <c r="D209" s="2463"/>
      <c r="E209" s="2205"/>
      <c r="F209" s="2384"/>
      <c r="G209" s="2428"/>
      <c r="H209" s="1501"/>
      <c r="I209" s="652" t="s">
        <v>1184</v>
      </c>
      <c r="J209" s="572"/>
      <c r="K209" s="1501"/>
      <c r="L209" s="215"/>
      <c r="M209" s="342"/>
      <c r="N209" s="335"/>
      <c r="O209" s="1625"/>
      <c r="P209" s="1625"/>
      <c r="AH209" s="1632">
        <v>0</v>
      </c>
    </row>
    <row s="1636" customFormat="1" customHeight="1" ht="0.75" hidden="1">
      <c r="A210" s="1781"/>
      <c r="B210" s="1781"/>
      <c r="C210" s="370" t="s">
        <v>1192</v>
      </c>
      <c r="D210" s="2463"/>
      <c r="E210" s="2205"/>
      <c r="F210" s="2384"/>
      <c r="G210" s="401"/>
      <c r="H210" s="1501"/>
      <c r="I210" s="652"/>
      <c r="J210" s="572"/>
      <c r="K210" s="1501"/>
      <c r="L210" s="215"/>
      <c r="M210" s="342"/>
      <c r="N210" s="335"/>
      <c r="O210" s="1625"/>
      <c r="P210" s="1625"/>
      <c r="AH210" s="1632">
        <v>0</v>
      </c>
    </row>
    <row s="1636" customFormat="1" customHeight="1" ht="18.75" hidden="1">
      <c r="A211" s="1781" t="s">
        <v>308</v>
      </c>
      <c r="B211" s="1781" t="s">
        <v>309</v>
      </c>
      <c r="C211" s="370"/>
      <c r="D211" s="2463"/>
      <c r="E211" s="2205"/>
      <c r="F211" s="2384" t="str">
        <f>INDEX(PT_DIFFERENTIATION_VTAR,MATCH(A211,PT_DIFFERENTIATION_VTAR_ID,0))</f>
        <v>Тариф на подключение (технологическое присоединение) к централизованной системе водоотведения</v>
      </c>
      <c r="G211" s="2428" t="str">
        <f>INDEX(PT_DIFFERENTIATION_NTAR,MATCH(B211,PT_DIFFERENTIATION_NTAR_ID,0))</f>
        <v/>
      </c>
      <c r="H211" s="1863"/>
      <c r="I211" s="1740"/>
      <c r="J211" s="1774"/>
      <c r="K211" s="1779"/>
      <c r="L211" s="1863" t="s">
        <v>339</v>
      </c>
      <c r="M211" s="342"/>
      <c r="N211" s="335"/>
      <c r="O211" s="1625"/>
      <c r="P211" s="1625"/>
      <c r="AH211" s="1632">
        <v>0</v>
      </c>
    </row>
    <row s="1636" customFormat="1" customHeight="1" ht="18.75" hidden="1">
      <c r="A212" s="1781"/>
      <c r="B212" s="1781"/>
      <c r="C212" s="370" t="s">
        <v>1185</v>
      </c>
      <c r="D212" s="2463"/>
      <c r="E212" s="2205"/>
      <c r="F212" s="2384"/>
      <c r="G212" s="2428"/>
      <c r="H212" s="1501"/>
      <c r="I212" s="652" t="s">
        <v>1184</v>
      </c>
      <c r="J212" s="572"/>
      <c r="K212" s="1501"/>
      <c r="L212" s="215"/>
      <c r="M212" s="342"/>
      <c r="N212" s="335"/>
      <c r="O212" s="1625"/>
      <c r="P212" s="1625"/>
      <c r="AH212" s="1632">
        <v>0</v>
      </c>
    </row>
    <row s="1636" customFormat="1" customHeight="1" ht="1.05">
      <c r="A213" s="1781"/>
      <c r="B213" s="1781"/>
      <c r="C213" s="370" t="s">
        <v>1192</v>
      </c>
      <c r="D213" s="2463"/>
      <c r="E213" s="2205"/>
      <c r="F213" s="2384"/>
      <c r="G213" s="401"/>
      <c r="H213" s="1501"/>
      <c r="I213" s="652"/>
      <c r="J213" s="572"/>
      <c r="K213" s="1501"/>
      <c r="L213" s="215"/>
      <c r="M213" s="342"/>
      <c r="N213" s="335"/>
      <c r="O213" s="1625"/>
      <c r="P213" s="1625"/>
      <c r="AH213" s="1632">
        <v>1</v>
      </c>
    </row>
    <row customHeight="1" ht="27.299999999999997">
      <c r="A214" s="1781"/>
      <c r="B214" s="1781"/>
      <c r="D214" s="377"/>
      <c r="E214" s="148" t="s">
        <v>125</v>
      </c>
      <c r="F214"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14" s="2461"/>
      <c r="H214" s="2461"/>
      <c r="I214" s="2461"/>
      <c r="J214" s="2461"/>
      <c r="K214" s="2461"/>
      <c r="L214" s="2461"/>
      <c r="M214" s="298"/>
      <c r="N214" s="335"/>
      <c r="AH214" s="375">
        <v>26</v>
      </c>
    </row>
    <row s="1636" customFormat="1" customHeight="1" ht="60.75" hidden="1">
      <c r="A215" s="1781" t="s">
        <v>169</v>
      </c>
      <c r="B215" s="1781" t="s">
        <v>170</v>
      </c>
      <c r="C215" s="370"/>
      <c r="D215" s="2463"/>
      <c r="E215" s="2205"/>
      <c r="F215" s="2384" t="str">
        <f>INDEX(PT_DIFFERENTIATION_VTAR,MATCH(A215,PT_DIFFERENTIATION_VTAR_ID,0))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5" s="2428" t="str">
        <f>INDEX(PT_DIFFERENTIATION_NTAR,MATCH(B215,PT_DIFFERENTIATION_NTAR_ID,0))</f>
        <v/>
      </c>
      <c r="H215" s="1863"/>
      <c r="I215" s="1740"/>
      <c r="J215" s="1774"/>
      <c r="K215" s="1779"/>
      <c r="L215" s="1863" t="s">
        <v>339</v>
      </c>
      <c r="M215"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15" s="335"/>
      <c r="O215" s="1625"/>
      <c r="P215" s="1625"/>
      <c r="AH215" s="1632">
        <v>0</v>
      </c>
    </row>
    <row s="1636" customFormat="1" customHeight="1" ht="18.75" hidden="1">
      <c r="A216" s="1781"/>
      <c r="B216" s="1781"/>
      <c r="C216" s="370" t="s">
        <v>1185</v>
      </c>
      <c r="D216" s="2463"/>
      <c r="E216" s="2205"/>
      <c r="F216" s="2384"/>
      <c r="G216" s="2428"/>
      <c r="H216" s="1501"/>
      <c r="I216" s="652" t="s">
        <v>1184</v>
      </c>
      <c r="J216" s="572"/>
      <c r="K216" s="1501"/>
      <c r="L216" s="215"/>
      <c r="M216" s="2171"/>
      <c r="N216" s="335"/>
      <c r="O216" s="1625"/>
      <c r="P216" s="1625"/>
      <c r="AH216" s="1632">
        <v>0</v>
      </c>
    </row>
    <row s="1636" customFormat="1" customHeight="1" ht="0.75" hidden="1">
      <c r="A217" s="1781"/>
      <c r="B217" s="1781"/>
      <c r="C217" s="370" t="s">
        <v>1192</v>
      </c>
      <c r="D217" s="2463"/>
      <c r="E217" s="2205"/>
      <c r="F217" s="2384"/>
      <c r="G217" s="401"/>
      <c r="H217" s="1501"/>
      <c r="I217" s="652"/>
      <c r="J217" s="572"/>
      <c r="K217" s="1501"/>
      <c r="L217" s="215"/>
      <c r="M217" s="2171"/>
      <c r="N217" s="335"/>
      <c r="O217" s="1625"/>
      <c r="P217" s="1625"/>
      <c r="AH217" s="1632">
        <v>0</v>
      </c>
    </row>
    <row s="1636" customFormat="1" customHeight="1" ht="45" hidden="1">
      <c r="A218" s="1781" t="s">
        <v>175</v>
      </c>
      <c r="B218" s="1781" t="s">
        <v>176</v>
      </c>
      <c r="C218" s="370"/>
      <c r="D218" s="2463"/>
      <c r="E218" s="2205"/>
      <c r="F218" s="2384" t="str">
        <f>INDEX(PT_DIFFERENTIATION_VTAR,MATCH(A218,PT_DIFFERENTIATION_VTAR_ID,0))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8" s="2428" t="str">
        <f>INDEX(PT_DIFFERENTIATION_NTAR,MATCH(B218,PT_DIFFERENTIATION_NTAR_ID,0))</f>
        <v/>
      </c>
      <c r="H218" s="1863"/>
      <c r="I218" s="1740"/>
      <c r="J218" s="1774"/>
      <c r="K218" s="1779"/>
      <c r="L218" s="1863" t="s">
        <v>339</v>
      </c>
      <c r="M218" s="2172"/>
      <c r="N218" s="335"/>
      <c r="O218" s="1625"/>
      <c r="P218" s="1625"/>
      <c r="AH218" s="1632">
        <v>0</v>
      </c>
    </row>
    <row s="1636" customFormat="1" customHeight="1" ht="18.75" hidden="1">
      <c r="A219" s="1781"/>
      <c r="B219" s="1781"/>
      <c r="C219" s="370" t="s">
        <v>1185</v>
      </c>
      <c r="D219" s="2463"/>
      <c r="E219" s="2205"/>
      <c r="F219" s="2384"/>
      <c r="G219" s="2428"/>
      <c r="H219" s="1501"/>
      <c r="I219" s="652" t="s">
        <v>1184</v>
      </c>
      <c r="J219" s="572"/>
      <c r="K219" s="1501"/>
      <c r="L219" s="215"/>
      <c r="M219" s="1862"/>
      <c r="N219" s="335"/>
      <c r="O219" s="1625"/>
      <c r="P219" s="1625"/>
      <c r="AH219" s="1632">
        <v>0</v>
      </c>
    </row>
    <row s="1636" customFormat="1" customHeight="1" ht="0.75" hidden="1">
      <c r="A220" s="1781"/>
      <c r="B220" s="1781"/>
      <c r="C220" s="370" t="s">
        <v>1192</v>
      </c>
      <c r="D220" s="2463"/>
      <c r="E220" s="2205"/>
      <c r="F220" s="2384"/>
      <c r="G220" s="401"/>
      <c r="H220" s="1501"/>
      <c r="I220" s="652"/>
      <c r="J220" s="572"/>
      <c r="K220" s="1501"/>
      <c r="L220" s="215"/>
      <c r="M220" s="342"/>
      <c r="N220" s="335"/>
      <c r="O220" s="1625"/>
      <c r="P220" s="1625"/>
      <c r="AH220" s="1632">
        <v>0</v>
      </c>
    </row>
    <row s="1636" customFormat="1" customHeight="1" ht="45" hidden="1">
      <c r="A221" s="1781" t="s">
        <v>181</v>
      </c>
      <c r="B221" s="1781" t="s">
        <v>182</v>
      </c>
      <c r="C221" s="370"/>
      <c r="D221" s="2463"/>
      <c r="E221" s="2205"/>
      <c r="F221" s="2384" t="str">
        <f>INDEX(PT_DIFFERENTIATION_VTAR,MATCH(A221,PT_DIFFERENTIATION_VTAR_ID,0))</f>
        <v>Тарифы на теплоноситель, поставляемый теплоснабжающими организациями потребителям, другим теплоснабжающим организациям</v>
      </c>
      <c r="G221" s="2428" t="str">
        <f>INDEX(PT_DIFFERENTIATION_NTAR,MATCH(B221,PT_DIFFERENTIATION_NTAR_ID,0))</f>
        <v/>
      </c>
      <c r="H221" s="1863"/>
      <c r="I221" s="1740"/>
      <c r="J221" s="1774"/>
      <c r="K221" s="1779"/>
      <c r="L221" s="1863" t="s">
        <v>339</v>
      </c>
      <c r="M221" s="342"/>
      <c r="N221" s="335"/>
      <c r="O221" s="1625"/>
      <c r="P221" s="1625"/>
      <c r="AH221" s="1632">
        <v>0</v>
      </c>
    </row>
    <row s="1636" customFormat="1" customHeight="1" ht="18.75" hidden="1">
      <c r="A222" s="1781"/>
      <c r="B222" s="1781"/>
      <c r="C222" s="370" t="s">
        <v>1185</v>
      </c>
      <c r="D222" s="2463"/>
      <c r="E222" s="2205"/>
      <c r="F222" s="2384"/>
      <c r="G222" s="2428"/>
      <c r="H222" s="1501"/>
      <c r="I222" s="652" t="s">
        <v>1184</v>
      </c>
      <c r="J222" s="572"/>
      <c r="K222" s="1501"/>
      <c r="L222" s="215"/>
      <c r="M222" s="342"/>
      <c r="N222" s="335"/>
      <c r="O222" s="1625"/>
      <c r="P222" s="1625"/>
      <c r="AH222" s="1632">
        <v>0</v>
      </c>
    </row>
    <row s="1636" customFormat="1" customHeight="1" ht="0.75" hidden="1">
      <c r="A223" s="1781"/>
      <c r="B223" s="1781"/>
      <c r="C223" s="370" t="s">
        <v>1192</v>
      </c>
      <c r="D223" s="2463"/>
      <c r="E223" s="2205"/>
      <c r="F223" s="2384"/>
      <c r="G223" s="401"/>
      <c r="H223" s="1501"/>
      <c r="I223" s="652"/>
      <c r="J223" s="572"/>
      <c r="K223" s="1501"/>
      <c r="L223" s="215"/>
      <c r="M223" s="342"/>
      <c r="N223" s="335"/>
      <c r="O223" s="1625"/>
      <c r="P223" s="1625"/>
      <c r="AH223" s="1632">
        <v>0</v>
      </c>
    </row>
    <row s="1636" customFormat="1" customHeight="1" ht="45" hidden="1">
      <c r="A224" s="1781" t="s">
        <v>187</v>
      </c>
      <c r="B224" s="1781" t="s">
        <v>188</v>
      </c>
      <c r="C224" s="370"/>
      <c r="D224" s="2463"/>
      <c r="E224" s="2205"/>
      <c r="F224" s="2384" t="str">
        <f>INDEX(PT_DIFFERENTIATION_VTAR,MATCH(A224,PT_DIFFERENTIATION_VTAR_ID,0))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4" s="2428" t="str">
        <f>INDEX(PT_DIFFERENTIATION_NTAR,MATCH(B224,PT_DIFFERENTIATION_NTAR_ID,0))</f>
        <v/>
      </c>
      <c r="H224" s="1863"/>
      <c r="I224" s="1740"/>
      <c r="J224" s="1774"/>
      <c r="K224" s="1779"/>
      <c r="L224" s="1863" t="s">
        <v>339</v>
      </c>
      <c r="M224" s="342"/>
      <c r="N224" s="335"/>
      <c r="O224" s="1625"/>
      <c r="P224" s="1625"/>
      <c r="AH224" s="1632">
        <v>0</v>
      </c>
    </row>
    <row s="1636" customFormat="1" customHeight="1" ht="18.75" hidden="1">
      <c r="A225" s="1781"/>
      <c r="B225" s="1781"/>
      <c r="C225" s="370" t="s">
        <v>1185</v>
      </c>
      <c r="D225" s="2463"/>
      <c r="E225" s="2205"/>
      <c r="F225" s="2384"/>
      <c r="G225" s="2428"/>
      <c r="H225" s="1501"/>
      <c r="I225" s="652" t="s">
        <v>1184</v>
      </c>
      <c r="J225" s="572"/>
      <c r="K225" s="1501"/>
      <c r="L225" s="215"/>
      <c r="M225" s="342"/>
      <c r="N225" s="335"/>
      <c r="O225" s="1625"/>
      <c r="P225" s="1625"/>
      <c r="AH225" s="1632">
        <v>0</v>
      </c>
    </row>
    <row s="1636" customFormat="1" customHeight="1" ht="0.75" hidden="1">
      <c r="A226" s="1781"/>
      <c r="B226" s="1781"/>
      <c r="C226" s="370" t="s">
        <v>1192</v>
      </c>
      <c r="D226" s="2463"/>
      <c r="E226" s="2205"/>
      <c r="F226" s="2384"/>
      <c r="G226" s="401"/>
      <c r="H226" s="1501"/>
      <c r="I226" s="652"/>
      <c r="J226" s="572"/>
      <c r="K226" s="1501"/>
      <c r="L226" s="215"/>
      <c r="M226" s="342"/>
      <c r="N226" s="335"/>
      <c r="O226" s="1625"/>
      <c r="P226" s="1625"/>
      <c r="AH226" s="1632">
        <v>0</v>
      </c>
    </row>
    <row s="1636" customFormat="1" customHeight="1" ht="18.75" hidden="1">
      <c r="A227" s="1781" t="s">
        <v>193</v>
      </c>
      <c r="B227" s="1781" t="s">
        <v>194</v>
      </c>
      <c r="C227" s="370"/>
      <c r="D227" s="2463"/>
      <c r="E227" s="2205"/>
      <c r="F227" s="2384" t="str">
        <f>INDEX(PT_DIFFERENTIATION_VTAR,MATCH(A227,PT_DIFFERENTIATION_VTAR_ID,0))</f>
        <v>Тарифы на услуги по передаче тепловой энергии</v>
      </c>
      <c r="G227" s="2428" t="str">
        <f>INDEX(PT_DIFFERENTIATION_NTAR,MATCH(B227,PT_DIFFERENTIATION_NTAR_ID,0))</f>
        <v/>
      </c>
      <c r="H227" s="1863"/>
      <c r="I227" s="1740"/>
      <c r="J227" s="1774"/>
      <c r="K227" s="1779"/>
      <c r="L227" s="1863" t="s">
        <v>339</v>
      </c>
      <c r="M227" s="342"/>
      <c r="N227" s="335"/>
      <c r="O227" s="1625"/>
      <c r="P227" s="1625"/>
      <c r="AH227" s="1632">
        <v>0</v>
      </c>
    </row>
    <row s="1636" customFormat="1" customHeight="1" ht="18.75" hidden="1">
      <c r="A228" s="1781"/>
      <c r="B228" s="1781"/>
      <c r="C228" s="370" t="s">
        <v>1185</v>
      </c>
      <c r="D228" s="2463"/>
      <c r="E228" s="2205"/>
      <c r="F228" s="2384"/>
      <c r="G228" s="2428"/>
      <c r="H228" s="1501"/>
      <c r="I228" s="652" t="s">
        <v>1184</v>
      </c>
      <c r="J228" s="572"/>
      <c r="K228" s="1501"/>
      <c r="L228" s="215"/>
      <c r="M228" s="342"/>
      <c r="N228" s="335"/>
      <c r="O228" s="1625"/>
      <c r="P228" s="1625"/>
      <c r="AH228" s="1632">
        <v>0</v>
      </c>
    </row>
    <row s="1636" customFormat="1" customHeight="1" ht="0.75" hidden="1">
      <c r="A229" s="1781"/>
      <c r="B229" s="1781"/>
      <c r="C229" s="370" t="s">
        <v>1192</v>
      </c>
      <c r="D229" s="2463"/>
      <c r="E229" s="2205"/>
      <c r="F229" s="2384"/>
      <c r="G229" s="401"/>
      <c r="H229" s="1501"/>
      <c r="I229" s="652"/>
      <c r="J229" s="572"/>
      <c r="K229" s="1501"/>
      <c r="L229" s="215"/>
      <c r="M229" s="342"/>
      <c r="N229" s="335"/>
      <c r="O229" s="1625"/>
      <c r="P229" s="1625"/>
      <c r="AH229" s="1632">
        <v>0</v>
      </c>
    </row>
    <row s="1636" customFormat="1" customHeight="1" ht="18.75" hidden="1">
      <c r="A230" s="1781" t="s">
        <v>199</v>
      </c>
      <c r="B230" s="1781" t="s">
        <v>200</v>
      </c>
      <c r="C230" s="370"/>
      <c r="D230" s="2463"/>
      <c r="E230" s="2205"/>
      <c r="F230" s="2384" t="str">
        <f>INDEX(PT_DIFFERENTIATION_VTAR,MATCH(A230,PT_DIFFERENTIATION_VTAR_ID,0))</f>
        <v>Тарифы на услуги по передаче теплоносителя</v>
      </c>
      <c r="G230" s="2428" t="str">
        <f>INDEX(PT_DIFFERENTIATION_NTAR,MATCH(B230,PT_DIFFERENTIATION_NTAR_ID,0))</f>
        <v/>
      </c>
      <c r="H230" s="1863"/>
      <c r="I230" s="1740"/>
      <c r="J230" s="1774"/>
      <c r="K230" s="1779"/>
      <c r="L230" s="1863" t="s">
        <v>339</v>
      </c>
      <c r="M230" s="342"/>
      <c r="N230" s="335"/>
      <c r="O230" s="1625"/>
      <c r="P230" s="1625"/>
      <c r="AH230" s="1632">
        <v>0</v>
      </c>
    </row>
    <row s="1636" customFormat="1" customHeight="1" ht="18.75" hidden="1">
      <c r="A231" s="1781"/>
      <c r="B231" s="1781"/>
      <c r="C231" s="370" t="s">
        <v>1185</v>
      </c>
      <c r="D231" s="2463"/>
      <c r="E231" s="2205"/>
      <c r="F231" s="2384"/>
      <c r="G231" s="2428"/>
      <c r="H231" s="1501"/>
      <c r="I231" s="652" t="s">
        <v>1184</v>
      </c>
      <c r="J231" s="572"/>
      <c r="K231" s="1501"/>
      <c r="L231" s="215"/>
      <c r="M231" s="342"/>
      <c r="N231" s="335"/>
      <c r="O231" s="1625"/>
      <c r="P231" s="1625"/>
      <c r="AH231" s="1632">
        <v>0</v>
      </c>
    </row>
    <row s="1636" customFormat="1" customHeight="1" ht="0.75" hidden="1">
      <c r="A232" s="1781"/>
      <c r="B232" s="1781"/>
      <c r="C232" s="370" t="s">
        <v>1192</v>
      </c>
      <c r="D232" s="2463"/>
      <c r="E232" s="2205"/>
      <c r="F232" s="2384"/>
      <c r="G232" s="401"/>
      <c r="H232" s="1501"/>
      <c r="I232" s="652"/>
      <c r="J232" s="572"/>
      <c r="K232" s="1501"/>
      <c r="L232" s="215"/>
      <c r="M232" s="342"/>
      <c r="N232" s="335"/>
      <c r="O232" s="1625"/>
      <c r="P232" s="1625"/>
      <c r="AH232" s="1632">
        <v>0</v>
      </c>
    </row>
    <row s="1636" customFormat="1" customHeight="1" ht="18.75" hidden="1">
      <c r="A233" s="1781" t="s">
        <v>205</v>
      </c>
      <c r="B233" s="1781" t="s">
        <v>206</v>
      </c>
      <c r="C233" s="370"/>
      <c r="D233" s="2463"/>
      <c r="E233" s="2205"/>
      <c r="F233" s="2384" t="str">
        <f>INDEX(PT_DIFFERENTIATION_VTAR,MATCH(A233,PT_DIFFERENTIATION_VTAR_ID,0))</f>
        <v>Плата за услуги по поддержанию резервной тепловой мощности при отсутствии потребления тепловой энергии</v>
      </c>
      <c r="G233" s="2428" t="str">
        <f>INDEX(PT_DIFFERENTIATION_NTAR,MATCH(B233,PT_DIFFERENTIATION_NTAR_ID,0))</f>
        <v/>
      </c>
      <c r="H233" s="1863"/>
      <c r="I233" s="1740"/>
      <c r="J233" s="1774"/>
      <c r="K233" s="1779"/>
      <c r="L233" s="1863" t="s">
        <v>339</v>
      </c>
      <c r="M233" s="342"/>
      <c r="N233" s="335"/>
      <c r="O233" s="1625"/>
      <c r="P233" s="1625"/>
      <c r="AH233" s="1632">
        <v>0</v>
      </c>
    </row>
    <row s="1636" customFormat="1" customHeight="1" ht="18.75" hidden="1">
      <c r="A234" s="1781"/>
      <c r="B234" s="1781"/>
      <c r="C234" s="370" t="s">
        <v>1185</v>
      </c>
      <c r="D234" s="2463"/>
      <c r="E234" s="2205"/>
      <c r="F234" s="2384"/>
      <c r="G234" s="2428"/>
      <c r="H234" s="1501"/>
      <c r="I234" s="652" t="s">
        <v>1184</v>
      </c>
      <c r="J234" s="572"/>
      <c r="K234" s="1501"/>
      <c r="L234" s="215"/>
      <c r="M234" s="342"/>
      <c r="N234" s="335"/>
      <c r="O234" s="1625"/>
      <c r="P234" s="1625"/>
      <c r="AH234" s="1632">
        <v>0</v>
      </c>
    </row>
    <row s="1636" customFormat="1" customHeight="1" ht="0.75" hidden="1">
      <c r="A235" s="1781"/>
      <c r="B235" s="1781"/>
      <c r="C235" s="370" t="s">
        <v>1192</v>
      </c>
      <c r="D235" s="2463"/>
      <c r="E235" s="2205"/>
      <c r="F235" s="2384"/>
      <c r="G235" s="401"/>
      <c r="H235" s="1501"/>
      <c r="I235" s="652"/>
      <c r="J235" s="572"/>
      <c r="K235" s="1501"/>
      <c r="L235" s="215"/>
      <c r="M235" s="342"/>
      <c r="N235" s="335"/>
      <c r="O235" s="1625"/>
      <c r="P235" s="1625"/>
      <c r="AH235" s="1632">
        <v>0</v>
      </c>
    </row>
    <row s="1636" customFormat="1" customHeight="1" ht="18.75" hidden="1">
      <c r="A236" s="1781" t="s">
        <v>213</v>
      </c>
      <c r="B236" s="1781" t="s">
        <v>214</v>
      </c>
      <c r="C236" s="370"/>
      <c r="D236" s="2463"/>
      <c r="E236" s="2205"/>
      <c r="F236" s="2384" t="str">
        <f>INDEX(PT_DIFFERENTIATION_VTAR,MATCH(A236,PT_DIFFERENTIATION_VTAR_ID,0))</f>
        <v>Плата за подключение (технологическое присоединение) к системе теплоснабжения</v>
      </c>
      <c r="G236" s="2428" t="str">
        <f>INDEX(PT_DIFFERENTIATION_NTAR,MATCH(B236,PT_DIFFERENTIATION_NTAR_ID,0))</f>
        <v>Расходы на проведение мероприятий по подключению объектов заявителей</v>
      </c>
      <c r="H236" s="1863"/>
      <c r="I236" s="1740"/>
      <c r="J236" s="1774"/>
      <c r="K236" s="1779"/>
      <c r="L236" s="1863" t="s">
        <v>339</v>
      </c>
      <c r="M236" s="342"/>
      <c r="N236" s="335"/>
      <c r="O236" s="1625"/>
      <c r="P236" s="1625"/>
      <c r="AH236" s="1632">
        <v>0</v>
      </c>
    </row>
    <row s="1636" customFormat="1" customHeight="1" ht="18.75" hidden="1">
      <c r="A237" s="1781"/>
      <c r="B237" s="1781"/>
      <c r="C237" s="370" t="s">
        <v>1185</v>
      </c>
      <c r="D237" s="2463"/>
      <c r="E237" s="2205"/>
      <c r="F237" s="2384"/>
      <c r="G237" s="2428"/>
      <c r="H237" s="1501"/>
      <c r="I237" s="652" t="s">
        <v>1184</v>
      </c>
      <c r="J237" s="572"/>
      <c r="K237" s="1501"/>
      <c r="L237" s="215"/>
      <c r="M237" s="342"/>
      <c r="N237" s="335"/>
      <c r="O237" s="1625"/>
      <c r="P237" s="1625"/>
      <c r="AH237" s="1632">
        <v>0</v>
      </c>
    </row>
    <row s="1636" customFormat="1" customHeight="1" ht="18.75">
      <c r="A238" s="1824" t="s">
        <v>213</v>
      </c>
      <c r="B238" s="1824" t="s">
        <v>229</v>
      </c>
      <c r="C238" s="1688"/>
      <c r="D238" s="345"/>
      <c r="E238" s="1032"/>
      <c r="F238" s="1032"/>
      <c r="G238" s="2428" t="str">
        <f>INDEX(PT_DIFFERENTIATION_NTAR,MATCH(B238,PT_DIFFERENTIATION_NTAR_ID,0))</f>
        <v>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 в расчете на единицу мощности подключаемой нагрузки. Подземная бесканальная прокладка до 250 мм</v>
      </c>
      <c r="H238" s="2272"/>
      <c r="I238" s="1740"/>
      <c r="J238" s="1774"/>
      <c r="K238" s="1779"/>
      <c r="L238" s="2272" t="s">
        <v>339</v>
      </c>
      <c r="M238" s="2319"/>
      <c r="N238" s="619"/>
      <c r="O238" s="1625"/>
      <c r="P238" s="1625"/>
      <c r="Q238" s="1636"/>
      <c r="R238" s="1636"/>
      <c r="S238" s="1636"/>
      <c r="T238" s="1636"/>
      <c r="U238" s="1636"/>
      <c r="V238" s="1636"/>
      <c r="W238" s="1636"/>
      <c r="X238" s="1636"/>
      <c r="Y238" s="1636"/>
      <c r="Z238" s="1636"/>
      <c r="AA238" s="1636"/>
      <c r="AB238" s="1636"/>
      <c r="AC238" s="1636"/>
      <c r="AD238" s="1636"/>
      <c r="AE238" s="1636"/>
      <c r="AF238" s="1636"/>
      <c r="AG238" s="1636"/>
      <c r="AH238" s="1636">
        <v>0</v>
      </c>
    </row>
    <row s="1636" customFormat="1" customHeight="1" ht="18.75">
      <c r="A239" s="1824"/>
      <c r="B239" s="1824"/>
      <c r="C239" s="1688" t="s">
        <v>1185</v>
      </c>
      <c r="D239" s="345"/>
      <c r="E239" s="1032"/>
      <c r="F239" s="1032"/>
      <c r="G239" s="2428"/>
      <c r="H239" s="2839"/>
      <c r="I239" s="2840" t="s">
        <v>1184</v>
      </c>
      <c r="J239" s="2841"/>
      <c r="K239" s="2842"/>
      <c r="L239" s="2843"/>
      <c r="M239" s="2319"/>
      <c r="N239" s="619"/>
      <c r="O239" s="1625"/>
      <c r="P239" s="1625"/>
      <c r="Q239" s="1636"/>
      <c r="R239" s="1636"/>
      <c r="S239" s="1636"/>
      <c r="T239" s="1636"/>
      <c r="U239" s="1636"/>
      <c r="V239" s="1636"/>
      <c r="W239" s="1636"/>
      <c r="X239" s="1636"/>
      <c r="Y239" s="1636"/>
      <c r="Z239" s="1636"/>
      <c r="AA239" s="1636"/>
      <c r="AB239" s="1636"/>
      <c r="AC239" s="1636"/>
      <c r="AD239" s="1636"/>
      <c r="AE239" s="1636"/>
      <c r="AF239" s="1636"/>
      <c r="AG239" s="1636"/>
      <c r="AH239" s="1636">
        <v>0</v>
      </c>
    </row>
    <row s="1636" customFormat="1" customHeight="1" ht="0.75" hidden="1">
      <c r="A240" s="1781"/>
      <c r="B240" s="1781"/>
      <c r="C240" s="370" t="s">
        <v>1192</v>
      </c>
      <c r="D240" s="2463"/>
      <c r="E240" s="2205"/>
      <c r="F240" s="2384"/>
      <c r="G240" s="401"/>
      <c r="H240" s="1501"/>
      <c r="I240" s="652"/>
      <c r="J240" s="572"/>
      <c r="K240" s="1501"/>
      <c r="L240" s="215"/>
      <c r="M240" s="342"/>
      <c r="N240" s="335"/>
      <c r="O240" s="1625"/>
      <c r="P240" s="1625"/>
      <c r="AH240" s="1632">
        <v>0</v>
      </c>
    </row>
    <row s="1636" customFormat="1" customHeight="1" ht="18.75" hidden="1">
      <c r="A241" s="1781" t="s">
        <v>238</v>
      </c>
      <c r="B241" s="1781" t="s">
        <v>239</v>
      </c>
      <c r="C241" s="370"/>
      <c r="D241" s="2463"/>
      <c r="E241" s="2205"/>
      <c r="F241" s="2384" t="str">
        <f>INDEX(PT_DIFFERENTIATION_VTAR,MATCH(A241,PT_DIFFERENTIATION_VTAR_ID,0))</f>
        <v>Плата за подключение (технологическое присоединение) к системе теплоснабжения (индивидуальная)</v>
      </c>
      <c r="G241" s="2428" t="str">
        <f>INDEX(PT_DIFFERENTIATION_NTAR,MATCH(B241,PT_DIFFERENTIATION_NTAR_ID,0))</f>
        <v/>
      </c>
      <c r="H241" s="1990"/>
      <c r="I241" s="1740"/>
      <c r="J241" s="1774"/>
      <c r="K241" s="1779"/>
      <c r="L241" s="1990" t="s">
        <v>339</v>
      </c>
      <c r="M241" s="342"/>
      <c r="N241" s="335"/>
      <c r="O241" s="1625"/>
      <c r="P241" s="1625"/>
      <c r="AH241" s="1632">
        <v>0</v>
      </c>
    </row>
    <row s="1636" customFormat="1" customHeight="1" ht="18.75" hidden="1">
      <c r="A242" s="1781"/>
      <c r="B242" s="1781"/>
      <c r="C242" s="370" t="s">
        <v>1185</v>
      </c>
      <c r="D242" s="2463"/>
      <c r="E242" s="2205"/>
      <c r="F242" s="2384"/>
      <c r="G242" s="2428"/>
      <c r="H242" s="1501"/>
      <c r="I242" s="652" t="s">
        <v>1184</v>
      </c>
      <c r="J242" s="572"/>
      <c r="K242" s="1501"/>
      <c r="L242" s="215"/>
      <c r="M242" s="342"/>
      <c r="N242" s="335"/>
      <c r="O242" s="1625"/>
      <c r="P242" s="1625"/>
      <c r="AH242" s="1632">
        <v>0</v>
      </c>
    </row>
    <row s="1636" customFormat="1" customHeight="1" ht="0.75" hidden="1">
      <c r="A243" s="1781"/>
      <c r="B243" s="1781"/>
      <c r="C243" s="370" t="s">
        <v>1192</v>
      </c>
      <c r="D243" s="2463"/>
      <c r="E243" s="2205"/>
      <c r="F243" s="2384"/>
      <c r="G243" s="401"/>
      <c r="H243" s="1501"/>
      <c r="I243" s="652"/>
      <c r="J243" s="572"/>
      <c r="K243" s="1501"/>
      <c r="L243" s="215"/>
      <c r="M243" s="342"/>
      <c r="N243" s="335"/>
      <c r="O243" s="1625"/>
      <c r="P243" s="1625"/>
      <c r="AH243" s="1632">
        <v>0</v>
      </c>
    </row>
    <row s="1636" customFormat="1" customHeight="1" ht="18.75" hidden="1">
      <c r="A244" s="1781" t="s">
        <v>258</v>
      </c>
      <c r="B244" s="1781" t="s">
        <v>259</v>
      </c>
      <c r="C244" s="370"/>
      <c r="D244" s="2463"/>
      <c r="E244" s="2205"/>
      <c r="F244" s="2384" t="str">
        <f>INDEX(PT_DIFFERENTIATION_VTAR,MATCH(A244,PT_DIFFERENTIATION_VTAR_ID,0))</f>
        <v>Тариф на питьевую воду (питьевое водоснабжение)</v>
      </c>
      <c r="G244" s="2428" t="str">
        <f>INDEX(PT_DIFFERENTIATION_NTAR,MATCH(B244,PT_DIFFERENTIATION_NTAR_ID,0))</f>
        <v/>
      </c>
      <c r="H244" s="1863"/>
      <c r="I244" s="1740"/>
      <c r="J244" s="1774"/>
      <c r="K244" s="1779"/>
      <c r="L244" s="1863" t="s">
        <v>339</v>
      </c>
      <c r="M244" s="342"/>
      <c r="N244" s="335"/>
      <c r="O244" s="1625"/>
      <c r="P244" s="1625"/>
      <c r="AH244" s="1632">
        <v>0</v>
      </c>
    </row>
    <row s="1636" customFormat="1" customHeight="1" ht="18.75" hidden="1">
      <c r="A245" s="1781"/>
      <c r="B245" s="1781"/>
      <c r="C245" s="370" t="s">
        <v>1185</v>
      </c>
      <c r="D245" s="2463"/>
      <c r="E245" s="2205"/>
      <c r="F245" s="2384"/>
      <c r="G245" s="2428"/>
      <c r="H245" s="1501"/>
      <c r="I245" s="652" t="s">
        <v>1184</v>
      </c>
      <c r="J245" s="572"/>
      <c r="K245" s="1501"/>
      <c r="L245" s="215"/>
      <c r="M245" s="342"/>
      <c r="N245" s="335"/>
      <c r="O245" s="1625"/>
      <c r="P245" s="1625"/>
      <c r="AH245" s="1632">
        <v>0</v>
      </c>
    </row>
    <row s="1636" customFormat="1" customHeight="1" ht="0.75" hidden="1">
      <c r="A246" s="1781"/>
      <c r="B246" s="1781"/>
      <c r="C246" s="370" t="s">
        <v>1192</v>
      </c>
      <c r="D246" s="2463"/>
      <c r="E246" s="2205"/>
      <c r="F246" s="2384"/>
      <c r="G246" s="401"/>
      <c r="H246" s="1501"/>
      <c r="I246" s="652"/>
      <c r="J246" s="572"/>
      <c r="K246" s="1501"/>
      <c r="L246" s="215"/>
      <c r="M246" s="342"/>
      <c r="N246" s="335"/>
      <c r="O246" s="1625"/>
      <c r="P246" s="1625"/>
      <c r="AH246" s="1632">
        <v>0</v>
      </c>
    </row>
    <row s="1636" customFormat="1" customHeight="1" ht="18.75" hidden="1">
      <c r="A247" s="1781" t="s">
        <v>263</v>
      </c>
      <c r="B247" s="1781" t="s">
        <v>264</v>
      </c>
      <c r="C247" s="370"/>
      <c r="D247" s="2463"/>
      <c r="E247" s="2205"/>
      <c r="F247" s="2384" t="str">
        <f>INDEX(PT_DIFFERENTIATION_VTAR,MATCH(A247,PT_DIFFERENTIATION_VTAR_ID,0))</f>
        <v>Тариф на техническую воду</v>
      </c>
      <c r="G247" s="2428" t="str">
        <f>INDEX(PT_DIFFERENTIATION_NTAR,MATCH(B247,PT_DIFFERENTIATION_NTAR_ID,0))</f>
        <v/>
      </c>
      <c r="H247" s="1863"/>
      <c r="I247" s="1740"/>
      <c r="J247" s="1774"/>
      <c r="K247" s="1779"/>
      <c r="L247" s="1863" t="s">
        <v>339</v>
      </c>
      <c r="M247" s="342"/>
      <c r="N247" s="335"/>
      <c r="O247" s="1625"/>
      <c r="P247" s="1625"/>
      <c r="AH247" s="1632">
        <v>0</v>
      </c>
    </row>
    <row s="1636" customFormat="1" customHeight="1" ht="18.75" hidden="1">
      <c r="A248" s="1781"/>
      <c r="B248" s="1781"/>
      <c r="C248" s="370" t="s">
        <v>1185</v>
      </c>
      <c r="D248" s="2463"/>
      <c r="E248" s="2205"/>
      <c r="F248" s="2384"/>
      <c r="G248" s="2428"/>
      <c r="H248" s="1501"/>
      <c r="I248" s="652" t="s">
        <v>1184</v>
      </c>
      <c r="J248" s="572"/>
      <c r="K248" s="1501"/>
      <c r="L248" s="215"/>
      <c r="M248" s="342"/>
      <c r="N248" s="335"/>
      <c r="O248" s="1625"/>
      <c r="P248" s="1625"/>
      <c r="AH248" s="1632">
        <v>0</v>
      </c>
    </row>
    <row s="1636" customFormat="1" customHeight="1" ht="0.75" hidden="1">
      <c r="A249" s="1781"/>
      <c r="B249" s="1781"/>
      <c r="C249" s="370" t="s">
        <v>1192</v>
      </c>
      <c r="D249" s="2463"/>
      <c r="E249" s="2205"/>
      <c r="F249" s="2384"/>
      <c r="G249" s="401"/>
      <c r="H249" s="1501"/>
      <c r="I249" s="652"/>
      <c r="J249" s="572"/>
      <c r="K249" s="1501"/>
      <c r="L249" s="215"/>
      <c r="M249" s="342"/>
      <c r="N249" s="335"/>
      <c r="O249" s="1625"/>
      <c r="P249" s="1625"/>
      <c r="AH249" s="1632">
        <v>0</v>
      </c>
    </row>
    <row s="1636" customFormat="1" customHeight="1" ht="18.75" hidden="1">
      <c r="A250" s="1781" t="s">
        <v>268</v>
      </c>
      <c r="B250" s="1781" t="s">
        <v>269</v>
      </c>
      <c r="C250" s="370"/>
      <c r="D250" s="2463"/>
      <c r="E250" s="2205"/>
      <c r="F250" s="2384" t="str">
        <f>INDEX(PT_DIFFERENTIATION_VTAR,MATCH(A250,PT_DIFFERENTIATION_VTAR_ID,0))</f>
        <v>Тариф на транспортировку воды</v>
      </c>
      <c r="G250" s="2428" t="str">
        <f>INDEX(PT_DIFFERENTIATION_NTAR,MATCH(B250,PT_DIFFERENTIATION_NTAR_ID,0))</f>
        <v/>
      </c>
      <c r="H250" s="1863"/>
      <c r="I250" s="1740"/>
      <c r="J250" s="1774"/>
      <c r="K250" s="1779"/>
      <c r="L250" s="1863" t="s">
        <v>339</v>
      </c>
      <c r="M250" s="342"/>
      <c r="N250" s="335"/>
      <c r="O250" s="1625"/>
      <c r="P250" s="1625"/>
      <c r="AH250" s="1632">
        <v>0</v>
      </c>
    </row>
    <row s="1636" customFormat="1" customHeight="1" ht="18.75" hidden="1">
      <c r="A251" s="1781"/>
      <c r="B251" s="1781"/>
      <c r="C251" s="370" t="s">
        <v>1185</v>
      </c>
      <c r="D251" s="2463"/>
      <c r="E251" s="2205"/>
      <c r="F251" s="2384"/>
      <c r="G251" s="2428"/>
      <c r="H251" s="1501"/>
      <c r="I251" s="652" t="s">
        <v>1184</v>
      </c>
      <c r="J251" s="572"/>
      <c r="K251" s="1501"/>
      <c r="L251" s="215"/>
      <c r="M251" s="342"/>
      <c r="N251" s="335"/>
      <c r="O251" s="1625"/>
      <c r="P251" s="1625"/>
      <c r="AH251" s="1632">
        <v>0</v>
      </c>
    </row>
    <row s="1636" customFormat="1" customHeight="1" ht="0.75" hidden="1">
      <c r="A252" s="1781"/>
      <c r="B252" s="1781"/>
      <c r="C252" s="370" t="s">
        <v>1192</v>
      </c>
      <c r="D252" s="2463"/>
      <c r="E252" s="2205"/>
      <c r="F252" s="2384"/>
      <c r="G252" s="401"/>
      <c r="H252" s="1501"/>
      <c r="I252" s="652"/>
      <c r="J252" s="572"/>
      <c r="K252" s="1501"/>
      <c r="L252" s="215"/>
      <c r="M252" s="342"/>
      <c r="N252" s="335"/>
      <c r="O252" s="1625"/>
      <c r="P252" s="1625"/>
      <c r="AH252" s="1632">
        <v>0</v>
      </c>
    </row>
    <row s="1636" customFormat="1" customHeight="1" ht="18.75" hidden="1">
      <c r="A253" s="1781" t="s">
        <v>273</v>
      </c>
      <c r="B253" s="1781" t="s">
        <v>274</v>
      </c>
      <c r="C253" s="370"/>
      <c r="D253" s="2463"/>
      <c r="E253" s="2205"/>
      <c r="F253" s="2384" t="str">
        <f>INDEX(PT_DIFFERENTIATION_VTAR,MATCH(A253,PT_DIFFERENTIATION_VTAR_ID,0))</f>
        <v>Тариф на подвоз воды</v>
      </c>
      <c r="G253" s="2428" t="str">
        <f>INDEX(PT_DIFFERENTIATION_NTAR,MATCH(B253,PT_DIFFERENTIATION_NTAR_ID,0))</f>
        <v/>
      </c>
      <c r="H253" s="1863"/>
      <c r="I253" s="1740"/>
      <c r="J253" s="1774"/>
      <c r="K253" s="1779"/>
      <c r="L253" s="1863" t="s">
        <v>339</v>
      </c>
      <c r="M253" s="342"/>
      <c r="N253" s="335"/>
      <c r="O253" s="1625"/>
      <c r="P253" s="1625"/>
      <c r="AH253" s="1632">
        <v>0</v>
      </c>
    </row>
    <row s="1636" customFormat="1" customHeight="1" ht="18.75" hidden="1">
      <c r="A254" s="1781"/>
      <c r="B254" s="1781"/>
      <c r="C254" s="370" t="s">
        <v>1185</v>
      </c>
      <c r="D254" s="2463"/>
      <c r="E254" s="2205"/>
      <c r="F254" s="2384"/>
      <c r="G254" s="2428"/>
      <c r="H254" s="1501"/>
      <c r="I254" s="652" t="s">
        <v>1184</v>
      </c>
      <c r="J254" s="572"/>
      <c r="K254" s="1501"/>
      <c r="L254" s="215"/>
      <c r="M254" s="342"/>
      <c r="N254" s="335"/>
      <c r="O254" s="1625"/>
      <c r="P254" s="1625"/>
      <c r="AH254" s="1632">
        <v>0</v>
      </c>
    </row>
    <row s="1636" customFormat="1" customHeight="1" ht="0.75" hidden="1">
      <c r="A255" s="1781"/>
      <c r="B255" s="1781"/>
      <c r="C255" s="370" t="s">
        <v>1192</v>
      </c>
      <c r="D255" s="2463"/>
      <c r="E255" s="2205"/>
      <c r="F255" s="2384"/>
      <c r="G255" s="401"/>
      <c r="H255" s="1501"/>
      <c r="I255" s="652"/>
      <c r="J255" s="572"/>
      <c r="K255" s="1501"/>
      <c r="L255" s="215"/>
      <c r="M255" s="342"/>
      <c r="N255" s="335"/>
      <c r="O255" s="1625"/>
      <c r="P255" s="1625"/>
      <c r="AH255" s="1632">
        <v>0</v>
      </c>
    </row>
    <row s="1636" customFormat="1" customHeight="1" ht="18.75" hidden="1">
      <c r="A256" s="1781" t="s">
        <v>278</v>
      </c>
      <c r="B256" s="1781" t="s">
        <v>279</v>
      </c>
      <c r="C256" s="370"/>
      <c r="D256" s="2463"/>
      <c r="E256" s="2205"/>
      <c r="F256" s="2384" t="str">
        <f>INDEX(PT_DIFFERENTIATION_VTAR,MATCH(A256,PT_DIFFERENTIATION_VTAR_ID,0))</f>
        <v>Тариф на подключение (технологическое присоединение) к централизованной системе холодного водоснабжения</v>
      </c>
      <c r="G256" s="2428" t="str">
        <f>INDEX(PT_DIFFERENTIATION_NTAR,MATCH(B256,PT_DIFFERENTIATION_NTAR_ID,0))</f>
        <v/>
      </c>
      <c r="H256" s="1863"/>
      <c r="I256" s="1740"/>
      <c r="J256" s="1774"/>
      <c r="K256" s="1779"/>
      <c r="L256" s="1863" t="s">
        <v>339</v>
      </c>
      <c r="M256" s="342"/>
      <c r="N256" s="335"/>
      <c r="O256" s="1625"/>
      <c r="P256" s="1625"/>
      <c r="AH256" s="1632">
        <v>0</v>
      </c>
    </row>
    <row s="1636" customFormat="1" customHeight="1" ht="18.75" hidden="1">
      <c r="A257" s="1781"/>
      <c r="B257" s="1781"/>
      <c r="C257" s="370" t="s">
        <v>1185</v>
      </c>
      <c r="D257" s="2463"/>
      <c r="E257" s="2205"/>
      <c r="F257" s="2384"/>
      <c r="G257" s="2428"/>
      <c r="H257" s="1501"/>
      <c r="I257" s="652" t="s">
        <v>1184</v>
      </c>
      <c r="J257" s="572"/>
      <c r="K257" s="1501"/>
      <c r="L257" s="215"/>
      <c r="M257" s="342"/>
      <c r="N257" s="335"/>
      <c r="O257" s="1625"/>
      <c r="P257" s="1625"/>
      <c r="AH257" s="1632">
        <v>0</v>
      </c>
    </row>
    <row s="1636" customFormat="1" customHeight="1" ht="0.75" hidden="1">
      <c r="A258" s="1781"/>
      <c r="B258" s="1781"/>
      <c r="C258" s="370" t="s">
        <v>1192</v>
      </c>
      <c r="D258" s="2463"/>
      <c r="E258" s="2205"/>
      <c r="F258" s="2384"/>
      <c r="G258" s="401"/>
      <c r="H258" s="1501"/>
      <c r="I258" s="652"/>
      <c r="J258" s="572"/>
      <c r="K258" s="1501"/>
      <c r="L258" s="215"/>
      <c r="M258" s="342"/>
      <c r="N258" s="335"/>
      <c r="O258" s="1625"/>
      <c r="P258" s="1625"/>
      <c r="AH258" s="1632">
        <v>0</v>
      </c>
    </row>
    <row s="1636" customFormat="1" customHeight="1" ht="18.75" hidden="1">
      <c r="A259" s="1781" t="s">
        <v>283</v>
      </c>
      <c r="B259" s="1781" t="s">
        <v>284</v>
      </c>
      <c r="C259" s="370"/>
      <c r="D259" s="2463"/>
      <c r="E259" s="2205"/>
      <c r="F259" s="2384" t="str">
        <f>INDEX(PT_DIFFERENTIATION_VTAR,MATCH(A259,PT_DIFFERENTIATION_VTAR_ID,0))</f>
        <v>Тариф на горячую воду (горячее водоснабжение)</v>
      </c>
      <c r="G259" s="2428" t="str">
        <f>INDEX(PT_DIFFERENTIATION_NTAR,MATCH(B259,PT_DIFFERENTIATION_NTAR_ID,0))</f>
        <v/>
      </c>
      <c r="H259" s="1863"/>
      <c r="I259" s="1740"/>
      <c r="J259" s="1774"/>
      <c r="K259" s="1779"/>
      <c r="L259" s="1863" t="s">
        <v>339</v>
      </c>
      <c r="M259" s="342"/>
      <c r="N259" s="335"/>
      <c r="O259" s="1625"/>
      <c r="P259" s="1625"/>
      <c r="AH259" s="1632">
        <v>0</v>
      </c>
    </row>
    <row s="1636" customFormat="1" customHeight="1" ht="18.75" hidden="1">
      <c r="A260" s="1781"/>
      <c r="B260" s="1781"/>
      <c r="C260" s="370" t="s">
        <v>1185</v>
      </c>
      <c r="D260" s="2463"/>
      <c r="E260" s="2205"/>
      <c r="F260" s="2384"/>
      <c r="G260" s="2428"/>
      <c r="H260" s="1501"/>
      <c r="I260" s="652" t="s">
        <v>1184</v>
      </c>
      <c r="J260" s="572"/>
      <c r="K260" s="1501"/>
      <c r="L260" s="215"/>
      <c r="M260" s="342"/>
      <c r="N260" s="335"/>
      <c r="O260" s="1625"/>
      <c r="P260" s="1625"/>
      <c r="AH260" s="1632">
        <v>0</v>
      </c>
    </row>
    <row s="1636" customFormat="1" customHeight="1" ht="0.75" hidden="1">
      <c r="A261" s="1781"/>
      <c r="B261" s="1781"/>
      <c r="C261" s="370" t="s">
        <v>1192</v>
      </c>
      <c r="D261" s="2463"/>
      <c r="E261" s="2205"/>
      <c r="F261" s="2384"/>
      <c r="G261" s="401"/>
      <c r="H261" s="1501"/>
      <c r="I261" s="652"/>
      <c r="J261" s="572"/>
      <c r="K261" s="1501"/>
      <c r="L261" s="215"/>
      <c r="M261" s="342"/>
      <c r="N261" s="335"/>
      <c r="O261" s="1625"/>
      <c r="P261" s="1625"/>
      <c r="AH261" s="1632">
        <v>0</v>
      </c>
    </row>
    <row s="1636" customFormat="1" customHeight="1" ht="18.75" hidden="1">
      <c r="A262" s="1781" t="s">
        <v>288</v>
      </c>
      <c r="B262" s="1781" t="s">
        <v>289</v>
      </c>
      <c r="C262" s="370"/>
      <c r="D262" s="2463"/>
      <c r="E262" s="2205"/>
      <c r="F262" s="2384" t="str">
        <f>INDEX(PT_DIFFERENTIATION_VTAR,MATCH(A262,PT_DIFFERENTIATION_VTAR_ID,0))</f>
        <v>Тариф на транспортировку горячей воды</v>
      </c>
      <c r="G262" s="2428" t="str">
        <f>INDEX(PT_DIFFERENTIATION_NTAR,MATCH(B262,PT_DIFFERENTIATION_NTAR_ID,0))</f>
        <v/>
      </c>
      <c r="H262" s="1863"/>
      <c r="I262" s="1740"/>
      <c r="J262" s="1774"/>
      <c r="K262" s="1779"/>
      <c r="L262" s="1863" t="s">
        <v>339</v>
      </c>
      <c r="M262" s="342"/>
      <c r="N262" s="335"/>
      <c r="O262" s="1625"/>
      <c r="P262" s="1625"/>
      <c r="AH262" s="1632">
        <v>0</v>
      </c>
    </row>
    <row s="1636" customFormat="1" customHeight="1" ht="18.75" hidden="1">
      <c r="A263" s="1781"/>
      <c r="B263" s="1781"/>
      <c r="C263" s="370" t="s">
        <v>1185</v>
      </c>
      <c r="D263" s="2463"/>
      <c r="E263" s="2205"/>
      <c r="F263" s="2384"/>
      <c r="G263" s="2428"/>
      <c r="H263" s="1501"/>
      <c r="I263" s="652" t="s">
        <v>1184</v>
      </c>
      <c r="J263" s="572"/>
      <c r="K263" s="1501"/>
      <c r="L263" s="215"/>
      <c r="M263" s="342"/>
      <c r="N263" s="335"/>
      <c r="O263" s="1625"/>
      <c r="P263" s="1625"/>
      <c r="AH263" s="1632">
        <v>0</v>
      </c>
    </row>
    <row s="1636" customFormat="1" customHeight="1" ht="0.75" hidden="1">
      <c r="A264" s="1781"/>
      <c r="B264" s="1781"/>
      <c r="C264" s="370" t="s">
        <v>1192</v>
      </c>
      <c r="D264" s="2463"/>
      <c r="E264" s="2205"/>
      <c r="F264" s="2384"/>
      <c r="G264" s="401"/>
      <c r="H264" s="1501"/>
      <c r="I264" s="652"/>
      <c r="J264" s="572"/>
      <c r="K264" s="1501"/>
      <c r="L264" s="215"/>
      <c r="M264" s="342"/>
      <c r="N264" s="335"/>
      <c r="O264" s="1625"/>
      <c r="P264" s="1625"/>
      <c r="AH264" s="1632">
        <v>0</v>
      </c>
    </row>
    <row s="1636" customFormat="1" customHeight="1" ht="18.75" hidden="1">
      <c r="A265" s="1781" t="s">
        <v>293</v>
      </c>
      <c r="B265" s="1781" t="s">
        <v>294</v>
      </c>
      <c r="C265" s="370"/>
      <c r="D265" s="2463"/>
      <c r="E265" s="2205"/>
      <c r="F265" s="2384" t="str">
        <f>INDEX(PT_DIFFERENTIATION_VTAR,MATCH(A265,PT_DIFFERENTIATION_VTAR_ID,0))</f>
        <v>Тариф на подключение (технологическое присоединение) к централизованной системе горячего водоснабжения</v>
      </c>
      <c r="G265" s="2428" t="str">
        <f>INDEX(PT_DIFFERENTIATION_NTAR,MATCH(B265,PT_DIFFERENTIATION_NTAR_ID,0))</f>
        <v/>
      </c>
      <c r="H265" s="1863"/>
      <c r="I265" s="1740"/>
      <c r="J265" s="1774"/>
      <c r="K265" s="1779"/>
      <c r="L265" s="1863" t="s">
        <v>339</v>
      </c>
      <c r="M265" s="342"/>
      <c r="N265" s="335"/>
      <c r="O265" s="1625"/>
      <c r="P265" s="1625"/>
      <c r="AH265" s="1632">
        <v>0</v>
      </c>
    </row>
    <row s="1636" customFormat="1" customHeight="1" ht="18.75" hidden="1">
      <c r="A266" s="1781"/>
      <c r="B266" s="1781"/>
      <c r="C266" s="370" t="s">
        <v>1185</v>
      </c>
      <c r="D266" s="2463"/>
      <c r="E266" s="2205"/>
      <c r="F266" s="2384"/>
      <c r="G266" s="2428"/>
      <c r="H266" s="1501"/>
      <c r="I266" s="652" t="s">
        <v>1184</v>
      </c>
      <c r="J266" s="572"/>
      <c r="K266" s="1501"/>
      <c r="L266" s="215"/>
      <c r="M266" s="342"/>
      <c r="N266" s="335"/>
      <c r="O266" s="1625"/>
      <c r="P266" s="1625"/>
      <c r="AH266" s="1632">
        <v>0</v>
      </c>
    </row>
    <row s="1636" customFormat="1" customHeight="1" ht="0.75" hidden="1">
      <c r="A267" s="1781"/>
      <c r="B267" s="1781"/>
      <c r="C267" s="370" t="s">
        <v>1192</v>
      </c>
      <c r="D267" s="2463"/>
      <c r="E267" s="2205"/>
      <c r="F267" s="2384"/>
      <c r="G267" s="401"/>
      <c r="H267" s="1501"/>
      <c r="I267" s="652"/>
      <c r="J267" s="572"/>
      <c r="K267" s="1501"/>
      <c r="L267" s="215"/>
      <c r="M267" s="342"/>
      <c r="N267" s="335"/>
      <c r="O267" s="1625"/>
      <c r="P267" s="1625"/>
      <c r="AH267" s="1632">
        <v>0</v>
      </c>
    </row>
    <row s="1636" customFormat="1" customHeight="1" ht="18.75" hidden="1">
      <c r="A268" s="1781" t="s">
        <v>298</v>
      </c>
      <c r="B268" s="1781" t="s">
        <v>299</v>
      </c>
      <c r="C268" s="370"/>
      <c r="D268" s="2463"/>
      <c r="E268" s="2205"/>
      <c r="F268" s="2384" t="str">
        <f>INDEX(PT_DIFFERENTIATION_VTAR,MATCH(A268,PT_DIFFERENTIATION_VTAR_ID,0))</f>
        <v>Тариф на водоотведение</v>
      </c>
      <c r="G268" s="2428" t="str">
        <f>INDEX(PT_DIFFERENTIATION_NTAR,MATCH(B268,PT_DIFFERENTIATION_NTAR_ID,0))</f>
        <v/>
      </c>
      <c r="H268" s="1863"/>
      <c r="I268" s="1740"/>
      <c r="J268" s="1774"/>
      <c r="K268" s="1779"/>
      <c r="L268" s="1863" t="s">
        <v>339</v>
      </c>
      <c r="M268" s="342"/>
      <c r="N268" s="335"/>
      <c r="O268" s="1625"/>
      <c r="P268" s="1625"/>
      <c r="AH268" s="1632">
        <v>0</v>
      </c>
    </row>
    <row s="1636" customFormat="1" customHeight="1" ht="18.75" hidden="1">
      <c r="A269" s="1781"/>
      <c r="B269" s="1781"/>
      <c r="C269" s="370" t="s">
        <v>1185</v>
      </c>
      <c r="D269" s="2463"/>
      <c r="E269" s="2205"/>
      <c r="F269" s="2384"/>
      <c r="G269" s="2428"/>
      <c r="H269" s="1501"/>
      <c r="I269" s="652" t="s">
        <v>1184</v>
      </c>
      <c r="J269" s="572"/>
      <c r="K269" s="1501"/>
      <c r="L269" s="215"/>
      <c r="M269" s="342"/>
      <c r="N269" s="335"/>
      <c r="O269" s="1625"/>
      <c r="P269" s="1625"/>
      <c r="AH269" s="1632">
        <v>0</v>
      </c>
    </row>
    <row s="1636" customFormat="1" customHeight="1" ht="0.75" hidden="1">
      <c r="A270" s="1781"/>
      <c r="B270" s="1781"/>
      <c r="C270" s="370" t="s">
        <v>1192</v>
      </c>
      <c r="D270" s="2463"/>
      <c r="E270" s="2205"/>
      <c r="F270" s="2384"/>
      <c r="G270" s="401"/>
      <c r="H270" s="1501"/>
      <c r="I270" s="652"/>
      <c r="J270" s="572"/>
      <c r="K270" s="1501"/>
      <c r="L270" s="215"/>
      <c r="M270" s="342"/>
      <c r="N270" s="335"/>
      <c r="O270" s="1625"/>
      <c r="P270" s="1625"/>
      <c r="AH270" s="1632">
        <v>0</v>
      </c>
    </row>
    <row s="1636" customFormat="1" customHeight="1" ht="18.75" hidden="1">
      <c r="A271" s="1781" t="s">
        <v>303</v>
      </c>
      <c r="B271" s="1781" t="s">
        <v>304</v>
      </c>
      <c r="C271" s="370"/>
      <c r="D271" s="2463"/>
      <c r="E271" s="2205"/>
      <c r="F271" s="2384" t="str">
        <f>INDEX(PT_DIFFERENTIATION_VTAR,MATCH(A271,PT_DIFFERENTIATION_VTAR_ID,0))</f>
        <v>Тариф на транспортировку сточных вод</v>
      </c>
      <c r="G271" s="2428" t="str">
        <f>INDEX(PT_DIFFERENTIATION_NTAR,MATCH(B271,PT_DIFFERENTIATION_NTAR_ID,0))</f>
        <v/>
      </c>
      <c r="H271" s="1863"/>
      <c r="I271" s="1740"/>
      <c r="J271" s="1774"/>
      <c r="K271" s="1779"/>
      <c r="L271" s="1863" t="s">
        <v>339</v>
      </c>
      <c r="M271" s="342"/>
      <c r="N271" s="335"/>
      <c r="O271" s="1625"/>
      <c r="P271" s="1625"/>
      <c r="AH271" s="1632">
        <v>0</v>
      </c>
    </row>
    <row s="1636" customFormat="1" customHeight="1" ht="18.75" hidden="1">
      <c r="A272" s="1781"/>
      <c r="B272" s="1781"/>
      <c r="C272" s="370" t="s">
        <v>1185</v>
      </c>
      <c r="D272" s="2463"/>
      <c r="E272" s="2205"/>
      <c r="F272" s="2384"/>
      <c r="G272" s="2428"/>
      <c r="H272" s="1501"/>
      <c r="I272" s="652" t="s">
        <v>1184</v>
      </c>
      <c r="J272" s="572"/>
      <c r="K272" s="1501"/>
      <c r="L272" s="215"/>
      <c r="M272" s="342"/>
      <c r="N272" s="335"/>
      <c r="O272" s="1625"/>
      <c r="P272" s="1625"/>
      <c r="AH272" s="1632">
        <v>0</v>
      </c>
    </row>
    <row s="1636" customFormat="1" customHeight="1" ht="0.75" hidden="1">
      <c r="A273" s="1781"/>
      <c r="B273" s="1781"/>
      <c r="C273" s="370" t="s">
        <v>1192</v>
      </c>
      <c r="D273" s="2463"/>
      <c r="E273" s="2205"/>
      <c r="F273" s="2384"/>
      <c r="G273" s="401"/>
      <c r="H273" s="1501"/>
      <c r="I273" s="652"/>
      <c r="J273" s="572"/>
      <c r="K273" s="1501"/>
      <c r="L273" s="215"/>
      <c r="M273" s="342"/>
      <c r="N273" s="335"/>
      <c r="O273" s="1625"/>
      <c r="P273" s="1625"/>
      <c r="AH273" s="1632">
        <v>0</v>
      </c>
    </row>
    <row s="1636" customFormat="1" customHeight="1" ht="18.75" hidden="1">
      <c r="A274" s="1781" t="s">
        <v>308</v>
      </c>
      <c r="B274" s="1781" t="s">
        <v>309</v>
      </c>
      <c r="C274" s="370"/>
      <c r="D274" s="2463"/>
      <c r="E274" s="2205"/>
      <c r="F274" s="2384" t="str">
        <f>INDEX(PT_DIFFERENTIATION_VTAR,MATCH(A274,PT_DIFFERENTIATION_VTAR_ID,0))</f>
        <v>Тариф на подключение (технологическое присоединение) к централизованной системе водоотведения</v>
      </c>
      <c r="G274" s="2428" t="str">
        <f>INDEX(PT_DIFFERENTIATION_NTAR,MATCH(B274,PT_DIFFERENTIATION_NTAR_ID,0))</f>
        <v/>
      </c>
      <c r="H274" s="1863"/>
      <c r="I274" s="1740"/>
      <c r="J274" s="1774"/>
      <c r="K274" s="1779"/>
      <c r="L274" s="1863" t="s">
        <v>339</v>
      </c>
      <c r="M274" s="342"/>
      <c r="N274" s="335"/>
      <c r="O274" s="1625"/>
      <c r="P274" s="1625"/>
      <c r="AH274" s="1632">
        <v>0</v>
      </c>
    </row>
    <row s="1636" customFormat="1" customHeight="1" ht="18.75" hidden="1">
      <c r="A275" s="1781"/>
      <c r="B275" s="1781"/>
      <c r="C275" s="370" t="s">
        <v>1185</v>
      </c>
      <c r="D275" s="2463"/>
      <c r="E275" s="2205"/>
      <c r="F275" s="2384"/>
      <c r="G275" s="2428"/>
      <c r="H275" s="1501"/>
      <c r="I275" s="652" t="s">
        <v>1184</v>
      </c>
      <c r="J275" s="572"/>
      <c r="K275" s="1501"/>
      <c r="L275" s="215"/>
      <c r="M275" s="342"/>
      <c r="N275" s="335"/>
      <c r="O275" s="1625"/>
      <c r="P275" s="1625"/>
      <c r="AH275" s="1632">
        <v>0</v>
      </c>
    </row>
    <row s="1636" customFormat="1" customHeight="1" ht="1.05">
      <c r="A276" s="1781"/>
      <c r="B276" s="1781"/>
      <c r="C276" s="370" t="s">
        <v>1192</v>
      </c>
      <c r="D276" s="2463"/>
      <c r="E276" s="2205"/>
      <c r="F276" s="2384"/>
      <c r="G276" s="401"/>
      <c r="H276" s="1501"/>
      <c r="I276" s="652"/>
      <c r="J276" s="572"/>
      <c r="K276" s="1501"/>
      <c r="L276" s="215"/>
      <c r="M276" s="342"/>
      <c r="N276" s="335"/>
      <c r="O276" s="1625"/>
      <c r="P276" s="1625"/>
      <c r="AH276" s="1632">
        <v>1</v>
      </c>
    </row>
    <row customHeight="1" ht="27.299999999999997">
      <c r="A277" s="1781"/>
      <c r="B277" s="1781"/>
      <c r="D277" s="377"/>
      <c r="E277" s="148" t="s">
        <v>95</v>
      </c>
      <c r="F277"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77" s="2461"/>
      <c r="H277" s="2461"/>
      <c r="I277" s="2461"/>
      <c r="J277" s="2461"/>
      <c r="K277" s="2461"/>
      <c r="L277" s="2461"/>
      <c r="M277" s="298"/>
      <c r="N277" s="335"/>
      <c r="AH277" s="375">
        <v>26</v>
      </c>
    </row>
    <row s="1636" customFormat="1" customHeight="1" ht="60.75" hidden="1">
      <c r="A278" s="1781" t="s">
        <v>169</v>
      </c>
      <c r="B278" s="1781" t="s">
        <v>170</v>
      </c>
      <c r="C278" s="370"/>
      <c r="D278" s="2463"/>
      <c r="E278" s="2205"/>
      <c r="F278" s="2384" t="str">
        <f>INDEX(PT_DIFFERENTIATION_VTAR,MATCH(A278,PT_DIFFERENTIATION_VTAR_ID,0))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8" s="2428" t="str">
        <f>INDEX(PT_DIFFERENTIATION_NTAR,MATCH(B278,PT_DIFFERENTIATION_NTAR_ID,0))</f>
        <v/>
      </c>
      <c r="H278" s="1863"/>
      <c r="I278" s="1740"/>
      <c r="J278" s="1774"/>
      <c r="K278" s="1779"/>
      <c r="L278" s="1863" t="s">
        <v>339</v>
      </c>
      <c r="M27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8" s="335"/>
      <c r="O278" s="1625"/>
      <c r="P278" s="1625"/>
      <c r="AH278" s="1632">
        <v>0</v>
      </c>
    </row>
    <row s="1636" customFormat="1" customHeight="1" ht="18.75" hidden="1">
      <c r="A279" s="1781"/>
      <c r="B279" s="1781"/>
      <c r="C279" s="370" t="s">
        <v>1185</v>
      </c>
      <c r="D279" s="2463"/>
      <c r="E279" s="2205"/>
      <c r="F279" s="2384"/>
      <c r="G279" s="2428"/>
      <c r="H279" s="1501"/>
      <c r="I279" s="652" t="s">
        <v>1184</v>
      </c>
      <c r="J279" s="572"/>
      <c r="K279" s="1501"/>
      <c r="L279" s="215"/>
      <c r="M279" s="2171"/>
      <c r="N279" s="335"/>
      <c r="O279" s="1625"/>
      <c r="P279" s="1625"/>
      <c r="AH279" s="1632">
        <v>0</v>
      </c>
    </row>
    <row s="1636" customFormat="1" customHeight="1" ht="0.75" hidden="1">
      <c r="A280" s="1781"/>
      <c r="B280" s="1781"/>
      <c r="C280" s="370" t="s">
        <v>1192</v>
      </c>
      <c r="D280" s="2463"/>
      <c r="E280" s="2205"/>
      <c r="F280" s="2384"/>
      <c r="G280" s="401"/>
      <c r="H280" s="1501"/>
      <c r="I280" s="652"/>
      <c r="J280" s="572"/>
      <c r="K280" s="1501"/>
      <c r="L280" s="215"/>
      <c r="M280" s="2171"/>
      <c r="N280" s="335"/>
      <c r="O280" s="1625"/>
      <c r="P280" s="1625"/>
      <c r="AH280" s="1632">
        <v>0</v>
      </c>
    </row>
    <row s="1636" customFormat="1" customHeight="1" ht="45" hidden="1">
      <c r="A281" s="1781" t="s">
        <v>175</v>
      </c>
      <c r="B281" s="1781" t="s">
        <v>176</v>
      </c>
      <c r="C281" s="370"/>
      <c r="D281" s="2463"/>
      <c r="E281" s="2205"/>
      <c r="F281" s="2384" t="str">
        <f>INDEX(PT_DIFFERENTIATION_VTAR,MATCH(A281,PT_DIFFERENTIATION_VTAR_ID,0))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81" s="2428" t="str">
        <f>INDEX(PT_DIFFERENTIATION_NTAR,MATCH(B281,PT_DIFFERENTIATION_NTAR_ID,0))</f>
        <v/>
      </c>
      <c r="H281" s="1863"/>
      <c r="I281" s="1740"/>
      <c r="J281" s="1774"/>
      <c r="K281" s="1779"/>
      <c r="L281" s="1863" t="s">
        <v>339</v>
      </c>
      <c r="M281" s="2172"/>
      <c r="N281" s="335"/>
      <c r="O281" s="1625"/>
      <c r="P281" s="1625"/>
      <c r="AH281" s="1632">
        <v>0</v>
      </c>
    </row>
    <row s="1636" customFormat="1" customHeight="1" ht="18.75" hidden="1">
      <c r="A282" s="1781"/>
      <c r="B282" s="1781"/>
      <c r="C282" s="370" t="s">
        <v>1185</v>
      </c>
      <c r="D282" s="2463"/>
      <c r="E282" s="2205"/>
      <c r="F282" s="2384"/>
      <c r="G282" s="2428"/>
      <c r="H282" s="1501"/>
      <c r="I282" s="652" t="s">
        <v>1184</v>
      </c>
      <c r="J282" s="572"/>
      <c r="K282" s="1501"/>
      <c r="L282" s="215"/>
      <c r="M282" s="1862"/>
      <c r="N282" s="335"/>
      <c r="O282" s="1625"/>
      <c r="P282" s="1625"/>
      <c r="AH282" s="1632">
        <v>0</v>
      </c>
    </row>
    <row s="1636" customFormat="1" customHeight="1" ht="0.75" hidden="1">
      <c r="A283" s="1781"/>
      <c r="B283" s="1781"/>
      <c r="C283" s="370" t="s">
        <v>1192</v>
      </c>
      <c r="D283" s="2463"/>
      <c r="E283" s="2205"/>
      <c r="F283" s="2384"/>
      <c r="G283" s="401"/>
      <c r="H283" s="1501"/>
      <c r="I283" s="652"/>
      <c r="J283" s="572"/>
      <c r="K283" s="1501"/>
      <c r="L283" s="215"/>
      <c r="M283" s="342"/>
      <c r="N283" s="335"/>
      <c r="O283" s="1625"/>
      <c r="P283" s="1625"/>
      <c r="AH283" s="1632">
        <v>0</v>
      </c>
    </row>
    <row s="1636" customFormat="1" customHeight="1" ht="45" hidden="1">
      <c r="A284" s="1781" t="s">
        <v>181</v>
      </c>
      <c r="B284" s="1781" t="s">
        <v>182</v>
      </c>
      <c r="C284" s="370"/>
      <c r="D284" s="2463"/>
      <c r="E284" s="2205"/>
      <c r="F284" s="2384" t="str">
        <f>INDEX(PT_DIFFERENTIATION_VTAR,MATCH(A284,PT_DIFFERENTIATION_VTAR_ID,0))</f>
        <v>Тарифы на теплоноситель, поставляемый теплоснабжающими организациями потребителям, другим теплоснабжающим организациям</v>
      </c>
      <c r="G284" s="2428" t="str">
        <f>INDEX(PT_DIFFERENTIATION_NTAR,MATCH(B284,PT_DIFFERENTIATION_NTAR_ID,0))</f>
        <v/>
      </c>
      <c r="H284" s="1863"/>
      <c r="I284" s="1740"/>
      <c r="J284" s="1774"/>
      <c r="K284" s="1779"/>
      <c r="L284" s="1863" t="s">
        <v>339</v>
      </c>
      <c r="M284" s="342"/>
      <c r="N284" s="335"/>
      <c r="O284" s="1625"/>
      <c r="P284" s="1625"/>
      <c r="AH284" s="1632">
        <v>0</v>
      </c>
    </row>
    <row s="1636" customFormat="1" customHeight="1" ht="18.75" hidden="1">
      <c r="A285" s="1781"/>
      <c r="B285" s="1781"/>
      <c r="C285" s="370" t="s">
        <v>1185</v>
      </c>
      <c r="D285" s="2463"/>
      <c r="E285" s="2205"/>
      <c r="F285" s="2384"/>
      <c r="G285" s="2428"/>
      <c r="H285" s="1501"/>
      <c r="I285" s="652" t="s">
        <v>1184</v>
      </c>
      <c r="J285" s="572"/>
      <c r="K285" s="1501"/>
      <c r="L285" s="215"/>
      <c r="M285" s="342"/>
      <c r="N285" s="335"/>
      <c r="O285" s="1625"/>
      <c r="P285" s="1625"/>
      <c r="AH285" s="1632">
        <v>0</v>
      </c>
    </row>
    <row s="1636" customFormat="1" customHeight="1" ht="0.75" hidden="1">
      <c r="A286" s="1781"/>
      <c r="B286" s="1781"/>
      <c r="C286" s="370" t="s">
        <v>1192</v>
      </c>
      <c r="D286" s="2463"/>
      <c r="E286" s="2205"/>
      <c r="F286" s="2384"/>
      <c r="G286" s="401"/>
      <c r="H286" s="1501"/>
      <c r="I286" s="652"/>
      <c r="J286" s="572"/>
      <c r="K286" s="1501"/>
      <c r="L286" s="215"/>
      <c r="M286" s="342"/>
      <c r="N286" s="335"/>
      <c r="O286" s="1625"/>
      <c r="P286" s="1625"/>
      <c r="AH286" s="1632">
        <v>0</v>
      </c>
    </row>
    <row s="1636" customFormat="1" customHeight="1" ht="45" hidden="1">
      <c r="A287" s="1781" t="s">
        <v>187</v>
      </c>
      <c r="B287" s="1781" t="s">
        <v>188</v>
      </c>
      <c r="C287" s="370"/>
      <c r="D287" s="2463"/>
      <c r="E287" s="2205"/>
      <c r="F287" s="2384" t="str">
        <f>INDEX(PT_DIFFERENTIATION_VTAR,MATCH(A287,PT_DIFFERENTIATION_VTAR_ID,0))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7" s="2428" t="str">
        <f>INDEX(PT_DIFFERENTIATION_NTAR,MATCH(B287,PT_DIFFERENTIATION_NTAR_ID,0))</f>
        <v/>
      </c>
      <c r="H287" s="1863"/>
      <c r="I287" s="1740"/>
      <c r="J287" s="1774"/>
      <c r="K287" s="1779"/>
      <c r="L287" s="1863" t="s">
        <v>339</v>
      </c>
      <c r="M287" s="342"/>
      <c r="N287" s="335"/>
      <c r="O287" s="1625"/>
      <c r="P287" s="1625"/>
      <c r="AH287" s="1632">
        <v>0</v>
      </c>
    </row>
    <row s="1636" customFormat="1" customHeight="1" ht="18.75" hidden="1">
      <c r="A288" s="1781"/>
      <c r="B288" s="1781"/>
      <c r="C288" s="370" t="s">
        <v>1185</v>
      </c>
      <c r="D288" s="2463"/>
      <c r="E288" s="2205"/>
      <c r="F288" s="2384"/>
      <c r="G288" s="2428"/>
      <c r="H288" s="1501"/>
      <c r="I288" s="652" t="s">
        <v>1184</v>
      </c>
      <c r="J288" s="572"/>
      <c r="K288" s="1501"/>
      <c r="L288" s="215"/>
      <c r="M288" s="342"/>
      <c r="N288" s="335"/>
      <c r="O288" s="1625"/>
      <c r="P288" s="1625"/>
      <c r="AH288" s="1632">
        <v>0</v>
      </c>
    </row>
    <row s="1636" customFormat="1" customHeight="1" ht="0.75" hidden="1">
      <c r="A289" s="1781"/>
      <c r="B289" s="1781"/>
      <c r="C289" s="370" t="s">
        <v>1192</v>
      </c>
      <c r="D289" s="2463"/>
      <c r="E289" s="2205"/>
      <c r="F289" s="2384"/>
      <c r="G289" s="401"/>
      <c r="H289" s="1501"/>
      <c r="I289" s="652"/>
      <c r="J289" s="572"/>
      <c r="K289" s="1501"/>
      <c r="L289" s="215"/>
      <c r="M289" s="342"/>
      <c r="N289" s="335"/>
      <c r="O289" s="1625"/>
      <c r="P289" s="1625"/>
      <c r="AH289" s="1632">
        <v>0</v>
      </c>
    </row>
    <row s="1636" customFormat="1" customHeight="1" ht="18.75" hidden="1">
      <c r="A290" s="1781" t="s">
        <v>193</v>
      </c>
      <c r="B290" s="1781" t="s">
        <v>194</v>
      </c>
      <c r="C290" s="370"/>
      <c r="D290" s="2463"/>
      <c r="E290" s="2205"/>
      <c r="F290" s="2384" t="str">
        <f>INDEX(PT_DIFFERENTIATION_VTAR,MATCH(A290,PT_DIFFERENTIATION_VTAR_ID,0))</f>
        <v>Тарифы на услуги по передаче тепловой энергии</v>
      </c>
      <c r="G290" s="2428" t="str">
        <f>INDEX(PT_DIFFERENTIATION_NTAR,MATCH(B290,PT_DIFFERENTIATION_NTAR_ID,0))</f>
        <v/>
      </c>
      <c r="H290" s="1863"/>
      <c r="I290" s="1740"/>
      <c r="J290" s="1774"/>
      <c r="K290" s="1779"/>
      <c r="L290" s="1863" t="s">
        <v>339</v>
      </c>
      <c r="M290" s="342"/>
      <c r="N290" s="335"/>
      <c r="O290" s="1625"/>
      <c r="P290" s="1625"/>
      <c r="AH290" s="1632">
        <v>0</v>
      </c>
    </row>
    <row s="1636" customFormat="1" customHeight="1" ht="18.75" hidden="1">
      <c r="A291" s="1781"/>
      <c r="B291" s="1781"/>
      <c r="C291" s="370" t="s">
        <v>1185</v>
      </c>
      <c r="D291" s="2463"/>
      <c r="E291" s="2205"/>
      <c r="F291" s="2384"/>
      <c r="G291" s="2428"/>
      <c r="H291" s="1501"/>
      <c r="I291" s="652" t="s">
        <v>1184</v>
      </c>
      <c r="J291" s="572"/>
      <c r="K291" s="1501"/>
      <c r="L291" s="215"/>
      <c r="M291" s="342"/>
      <c r="N291" s="335"/>
      <c r="O291" s="1625"/>
      <c r="P291" s="1625"/>
      <c r="AH291" s="1632">
        <v>0</v>
      </c>
    </row>
    <row s="1636" customFormat="1" customHeight="1" ht="0.75" hidden="1">
      <c r="A292" s="1781"/>
      <c r="B292" s="1781"/>
      <c r="C292" s="370" t="s">
        <v>1192</v>
      </c>
      <c r="D292" s="2463"/>
      <c r="E292" s="2205"/>
      <c r="F292" s="2384"/>
      <c r="G292" s="401"/>
      <c r="H292" s="1501"/>
      <c r="I292" s="652"/>
      <c r="J292" s="572"/>
      <c r="K292" s="1501"/>
      <c r="L292" s="215"/>
      <c r="M292" s="342"/>
      <c r="N292" s="335"/>
      <c r="O292" s="1625"/>
      <c r="P292" s="1625"/>
      <c r="AH292" s="1632">
        <v>0</v>
      </c>
    </row>
    <row s="1636" customFormat="1" customHeight="1" ht="18.75" hidden="1">
      <c r="A293" s="1781" t="s">
        <v>199</v>
      </c>
      <c r="B293" s="1781" t="s">
        <v>200</v>
      </c>
      <c r="C293" s="370"/>
      <c r="D293" s="2463"/>
      <c r="E293" s="2205"/>
      <c r="F293" s="2384" t="str">
        <f>INDEX(PT_DIFFERENTIATION_VTAR,MATCH(A293,PT_DIFFERENTIATION_VTAR_ID,0))</f>
        <v>Тарифы на услуги по передаче теплоносителя</v>
      </c>
      <c r="G293" s="2428" t="str">
        <f>INDEX(PT_DIFFERENTIATION_NTAR,MATCH(B293,PT_DIFFERENTIATION_NTAR_ID,0))</f>
        <v/>
      </c>
      <c r="H293" s="1863"/>
      <c r="I293" s="1740"/>
      <c r="J293" s="1774"/>
      <c r="K293" s="1779"/>
      <c r="L293" s="1863" t="s">
        <v>339</v>
      </c>
      <c r="M293" s="342"/>
      <c r="N293" s="335"/>
      <c r="O293" s="1625"/>
      <c r="P293" s="1625"/>
      <c r="AH293" s="1632">
        <v>0</v>
      </c>
    </row>
    <row s="1636" customFormat="1" customHeight="1" ht="18.75" hidden="1">
      <c r="A294" s="1781"/>
      <c r="B294" s="1781"/>
      <c r="C294" s="370" t="s">
        <v>1185</v>
      </c>
      <c r="D294" s="2463"/>
      <c r="E294" s="2205"/>
      <c r="F294" s="2384"/>
      <c r="G294" s="2428"/>
      <c r="H294" s="1501"/>
      <c r="I294" s="652" t="s">
        <v>1184</v>
      </c>
      <c r="J294" s="572"/>
      <c r="K294" s="1501"/>
      <c r="L294" s="215"/>
      <c r="M294" s="342"/>
      <c r="N294" s="335"/>
      <c r="O294" s="1625"/>
      <c r="P294" s="1625"/>
      <c r="AH294" s="1632">
        <v>0</v>
      </c>
    </row>
    <row s="1636" customFormat="1" customHeight="1" ht="0.75" hidden="1">
      <c r="A295" s="1781"/>
      <c r="B295" s="1781"/>
      <c r="C295" s="370" t="s">
        <v>1192</v>
      </c>
      <c r="D295" s="2463"/>
      <c r="E295" s="2205"/>
      <c r="F295" s="2384"/>
      <c r="G295" s="401"/>
      <c r="H295" s="1501"/>
      <c r="I295" s="652"/>
      <c r="J295" s="572"/>
      <c r="K295" s="1501"/>
      <c r="L295" s="215"/>
      <c r="M295" s="342"/>
      <c r="N295" s="335"/>
      <c r="O295" s="1625"/>
      <c r="P295" s="1625"/>
      <c r="AH295" s="1632">
        <v>0</v>
      </c>
    </row>
    <row s="1636" customFormat="1" customHeight="1" ht="18.75" hidden="1">
      <c r="A296" s="1781" t="s">
        <v>205</v>
      </c>
      <c r="B296" s="1781" t="s">
        <v>206</v>
      </c>
      <c r="C296" s="370"/>
      <c r="D296" s="2463"/>
      <c r="E296" s="2205"/>
      <c r="F296" s="2384" t="str">
        <f>INDEX(PT_DIFFERENTIATION_VTAR,MATCH(A296,PT_DIFFERENTIATION_VTAR_ID,0))</f>
        <v>Плата за услуги по поддержанию резервной тепловой мощности при отсутствии потребления тепловой энергии</v>
      </c>
      <c r="G296" s="2428" t="str">
        <f>INDEX(PT_DIFFERENTIATION_NTAR,MATCH(B296,PT_DIFFERENTIATION_NTAR_ID,0))</f>
        <v/>
      </c>
      <c r="H296" s="1863"/>
      <c r="I296" s="1740"/>
      <c r="J296" s="1774"/>
      <c r="K296" s="1779"/>
      <c r="L296" s="1863" t="s">
        <v>339</v>
      </c>
      <c r="M296" s="342"/>
      <c r="N296" s="335"/>
      <c r="O296" s="1625"/>
      <c r="P296" s="1625"/>
      <c r="AH296" s="1632">
        <v>0</v>
      </c>
    </row>
    <row s="1636" customFormat="1" customHeight="1" ht="18.75" hidden="1">
      <c r="A297" s="1781"/>
      <c r="B297" s="1781"/>
      <c r="C297" s="370" t="s">
        <v>1185</v>
      </c>
      <c r="D297" s="2463"/>
      <c r="E297" s="2205"/>
      <c r="F297" s="2384"/>
      <c r="G297" s="2428"/>
      <c r="H297" s="1501"/>
      <c r="I297" s="652" t="s">
        <v>1184</v>
      </c>
      <c r="J297" s="572"/>
      <c r="K297" s="1501"/>
      <c r="L297" s="215"/>
      <c r="M297" s="342"/>
      <c r="N297" s="335"/>
      <c r="O297" s="1625"/>
      <c r="P297" s="1625"/>
      <c r="AH297" s="1632">
        <v>0</v>
      </c>
    </row>
    <row s="1636" customFormat="1" customHeight="1" ht="0.75" hidden="1">
      <c r="A298" s="1781"/>
      <c r="B298" s="1781"/>
      <c r="C298" s="370" t="s">
        <v>1192</v>
      </c>
      <c r="D298" s="2463"/>
      <c r="E298" s="2205"/>
      <c r="F298" s="2384"/>
      <c r="G298" s="401"/>
      <c r="H298" s="1501"/>
      <c r="I298" s="652"/>
      <c r="J298" s="572"/>
      <c r="K298" s="1501"/>
      <c r="L298" s="215"/>
      <c r="M298" s="342"/>
      <c r="N298" s="335"/>
      <c r="O298" s="1625"/>
      <c r="P298" s="1625"/>
      <c r="AH298" s="1632">
        <v>0</v>
      </c>
    </row>
    <row s="1636" customFormat="1" customHeight="1" ht="18.75" hidden="1">
      <c r="A299" s="1781" t="s">
        <v>213</v>
      </c>
      <c r="B299" s="1781" t="s">
        <v>214</v>
      </c>
      <c r="C299" s="370"/>
      <c r="D299" s="2463"/>
      <c r="E299" s="2205"/>
      <c r="F299" s="2384" t="str">
        <f>INDEX(PT_DIFFERENTIATION_VTAR,MATCH(A299,PT_DIFFERENTIATION_VTAR_ID,0))</f>
        <v>Плата за подключение (технологическое присоединение) к системе теплоснабжения</v>
      </c>
      <c r="G299" s="2428" t="str">
        <f>INDEX(PT_DIFFERENTIATION_NTAR,MATCH(B299,PT_DIFFERENTIATION_NTAR_ID,0))</f>
        <v>Расходы на проведение мероприятий по подключению объектов заявителей</v>
      </c>
      <c r="H299" s="1863"/>
      <c r="I299" s="1740"/>
      <c r="J299" s="1774"/>
      <c r="K299" s="1779"/>
      <c r="L299" s="1863" t="s">
        <v>339</v>
      </c>
      <c r="M299" s="342"/>
      <c r="N299" s="335"/>
      <c r="O299" s="1625"/>
      <c r="P299" s="1625"/>
      <c r="AH299" s="1632">
        <v>0</v>
      </c>
    </row>
    <row s="1636" customFormat="1" customHeight="1" ht="18.75" hidden="1">
      <c r="A300" s="1781"/>
      <c r="B300" s="1781"/>
      <c r="C300" s="370" t="s">
        <v>1185</v>
      </c>
      <c r="D300" s="2463"/>
      <c r="E300" s="2205"/>
      <c r="F300" s="2384"/>
      <c r="G300" s="2428"/>
      <c r="H300" s="1501"/>
      <c r="I300" s="652" t="s">
        <v>1184</v>
      </c>
      <c r="J300" s="572"/>
      <c r="K300" s="1501"/>
      <c r="L300" s="215"/>
      <c r="M300" s="342"/>
      <c r="N300" s="335"/>
      <c r="O300" s="1625"/>
      <c r="P300" s="1625"/>
      <c r="AH300" s="1632">
        <v>0</v>
      </c>
    </row>
    <row s="1636" customFormat="1" customHeight="1" ht="18.75">
      <c r="A301" s="1824" t="s">
        <v>213</v>
      </c>
      <c r="B301" s="1824" t="s">
        <v>229</v>
      </c>
      <c r="C301" s="1688"/>
      <c r="D301" s="345"/>
      <c r="E301" s="1032"/>
      <c r="F301" s="1032"/>
      <c r="G301" s="2428" t="str">
        <f>INDEX(PT_DIFFERENTIATION_NTAR,MATCH(B301,PT_DIFFERENTIATION_NTAR_ID,0))</f>
        <v>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 в расчете на единицу мощности подключаемой нагрузки. Подземная бесканальная прокладка до 250 мм</v>
      </c>
      <c r="H301" s="2272"/>
      <c r="I301" s="1740"/>
      <c r="J301" s="1774"/>
      <c r="K301" s="1779"/>
      <c r="L301" s="2272" t="s">
        <v>339</v>
      </c>
      <c r="M301" s="2319"/>
      <c r="N301" s="619"/>
      <c r="O301" s="1625"/>
      <c r="P301" s="1625"/>
      <c r="Q301" s="1636"/>
      <c r="R301" s="1636"/>
      <c r="S301" s="1636"/>
      <c r="T301" s="1636"/>
      <c r="U301" s="1636"/>
      <c r="V301" s="1636"/>
      <c r="W301" s="1636"/>
      <c r="X301" s="1636"/>
      <c r="Y301" s="1636"/>
      <c r="Z301" s="1636"/>
      <c r="AA301" s="1636"/>
      <c r="AB301" s="1636"/>
      <c r="AC301" s="1636"/>
      <c r="AD301" s="1636"/>
      <c r="AE301" s="1636"/>
      <c r="AF301" s="1636"/>
      <c r="AG301" s="1636"/>
      <c r="AH301" s="1636">
        <v>0</v>
      </c>
    </row>
    <row s="1636" customFormat="1" customHeight="1" ht="18.75">
      <c r="A302" s="1824"/>
      <c r="B302" s="1824"/>
      <c r="C302" s="1688" t="s">
        <v>1185</v>
      </c>
      <c r="D302" s="345"/>
      <c r="E302" s="1032"/>
      <c r="F302" s="1032"/>
      <c r="G302" s="2428"/>
      <c r="H302" s="2844"/>
      <c r="I302" s="2845" t="s">
        <v>1184</v>
      </c>
      <c r="J302" s="2846"/>
      <c r="K302" s="2847"/>
      <c r="L302" s="2848"/>
      <c r="M302" s="2319"/>
      <c r="N302" s="619"/>
      <c r="O302" s="1625"/>
      <c r="P302" s="1625"/>
      <c r="Q302" s="1636"/>
      <c r="R302" s="1636"/>
      <c r="S302" s="1636"/>
      <c r="T302" s="1636"/>
      <c r="U302" s="1636"/>
      <c r="V302" s="1636"/>
      <c r="W302" s="1636"/>
      <c r="X302" s="1636"/>
      <c r="Y302" s="1636"/>
      <c r="Z302" s="1636"/>
      <c r="AA302" s="1636"/>
      <c r="AB302" s="1636"/>
      <c r="AC302" s="1636"/>
      <c r="AD302" s="1636"/>
      <c r="AE302" s="1636"/>
      <c r="AF302" s="1636"/>
      <c r="AG302" s="1636"/>
      <c r="AH302" s="1636">
        <v>0</v>
      </c>
    </row>
    <row s="1636" customFormat="1" customHeight="1" ht="0.75" hidden="1">
      <c r="A303" s="1781"/>
      <c r="B303" s="1781"/>
      <c r="C303" s="370" t="s">
        <v>1192</v>
      </c>
      <c r="D303" s="2463"/>
      <c r="E303" s="2205"/>
      <c r="F303" s="2384"/>
      <c r="G303" s="401"/>
      <c r="H303" s="1501"/>
      <c r="I303" s="652"/>
      <c r="J303" s="572"/>
      <c r="K303" s="1501"/>
      <c r="L303" s="215"/>
      <c r="M303" s="342"/>
      <c r="N303" s="335"/>
      <c r="O303" s="1625"/>
      <c r="P303" s="1625"/>
      <c r="AH303" s="1632">
        <v>0</v>
      </c>
    </row>
    <row s="1636" customFormat="1" customHeight="1" ht="18.75" hidden="1">
      <c r="A304" s="1781" t="s">
        <v>238</v>
      </c>
      <c r="B304" s="1781" t="s">
        <v>239</v>
      </c>
      <c r="C304" s="370"/>
      <c r="D304" s="2463"/>
      <c r="E304" s="2205"/>
      <c r="F304" s="2384" t="str">
        <f>INDEX(PT_DIFFERENTIATION_VTAR,MATCH(A304,PT_DIFFERENTIATION_VTAR_ID,0))</f>
        <v>Плата за подключение (технологическое присоединение) к системе теплоснабжения (индивидуальная)</v>
      </c>
      <c r="G304" s="2428" t="str">
        <f>INDEX(PT_DIFFERENTIATION_NTAR,MATCH(B304,PT_DIFFERENTIATION_NTAR_ID,0))</f>
        <v/>
      </c>
      <c r="H304" s="1990"/>
      <c r="I304" s="1740"/>
      <c r="J304" s="1774"/>
      <c r="K304" s="1779"/>
      <c r="L304" s="1990" t="s">
        <v>339</v>
      </c>
      <c r="M304" s="342"/>
      <c r="N304" s="335"/>
      <c r="O304" s="1625"/>
      <c r="P304" s="1625"/>
      <c r="AH304" s="1632">
        <v>0</v>
      </c>
    </row>
    <row s="1636" customFormat="1" customHeight="1" ht="18.75" hidden="1">
      <c r="A305" s="1781"/>
      <c r="B305" s="1781"/>
      <c r="C305" s="370" t="s">
        <v>1185</v>
      </c>
      <c r="D305" s="2463"/>
      <c r="E305" s="2205"/>
      <c r="F305" s="2384"/>
      <c r="G305" s="2428"/>
      <c r="H305" s="1501"/>
      <c r="I305" s="652" t="s">
        <v>1184</v>
      </c>
      <c r="J305" s="572"/>
      <c r="K305" s="1501"/>
      <c r="L305" s="215"/>
      <c r="M305" s="342"/>
      <c r="N305" s="335"/>
      <c r="O305" s="1625"/>
      <c r="P305" s="1625"/>
      <c r="AH305" s="1632">
        <v>0</v>
      </c>
    </row>
    <row s="1636" customFormat="1" customHeight="1" ht="0.75" hidden="1">
      <c r="A306" s="1781"/>
      <c r="B306" s="1781"/>
      <c r="C306" s="370" t="s">
        <v>1192</v>
      </c>
      <c r="D306" s="2463"/>
      <c r="E306" s="2205"/>
      <c r="F306" s="2384"/>
      <c r="G306" s="401"/>
      <c r="H306" s="1501"/>
      <c r="I306" s="652"/>
      <c r="J306" s="572"/>
      <c r="K306" s="1501"/>
      <c r="L306" s="215"/>
      <c r="M306" s="342"/>
      <c r="N306" s="335"/>
      <c r="O306" s="1625"/>
      <c r="P306" s="1625"/>
      <c r="AH306" s="1632">
        <v>0</v>
      </c>
    </row>
    <row s="1636" customFormat="1" customHeight="1" ht="18.75" hidden="1">
      <c r="A307" s="1781" t="s">
        <v>258</v>
      </c>
      <c r="B307" s="1781" t="s">
        <v>259</v>
      </c>
      <c r="C307" s="370"/>
      <c r="D307" s="2463"/>
      <c r="E307" s="2205"/>
      <c r="F307" s="2384" t="str">
        <f>INDEX(PT_DIFFERENTIATION_VTAR,MATCH(A307,PT_DIFFERENTIATION_VTAR_ID,0))</f>
        <v>Тариф на питьевую воду (питьевое водоснабжение)</v>
      </c>
      <c r="G307" s="2428" t="str">
        <f>INDEX(PT_DIFFERENTIATION_NTAR,MATCH(B307,PT_DIFFERENTIATION_NTAR_ID,0))</f>
        <v/>
      </c>
      <c r="H307" s="1863"/>
      <c r="I307" s="1740"/>
      <c r="J307" s="1774"/>
      <c r="K307" s="1779"/>
      <c r="L307" s="1863" t="s">
        <v>339</v>
      </c>
      <c r="M307" s="342"/>
      <c r="N307" s="335"/>
      <c r="O307" s="1625"/>
      <c r="P307" s="1625"/>
      <c r="AH307" s="1632">
        <v>0</v>
      </c>
    </row>
    <row s="1636" customFormat="1" customHeight="1" ht="18.75" hidden="1">
      <c r="A308" s="1781"/>
      <c r="B308" s="1781"/>
      <c r="C308" s="370" t="s">
        <v>1185</v>
      </c>
      <c r="D308" s="2463"/>
      <c r="E308" s="2205"/>
      <c r="F308" s="2384"/>
      <c r="G308" s="2428"/>
      <c r="H308" s="1501"/>
      <c r="I308" s="652" t="s">
        <v>1184</v>
      </c>
      <c r="J308" s="572"/>
      <c r="K308" s="1501"/>
      <c r="L308" s="215"/>
      <c r="M308" s="342"/>
      <c r="N308" s="335"/>
      <c r="O308" s="1625"/>
      <c r="P308" s="1625"/>
      <c r="AH308" s="1632">
        <v>0</v>
      </c>
    </row>
    <row s="1636" customFormat="1" customHeight="1" ht="0.75" hidden="1">
      <c r="A309" s="1781"/>
      <c r="B309" s="1781"/>
      <c r="C309" s="370" t="s">
        <v>1192</v>
      </c>
      <c r="D309" s="2463"/>
      <c r="E309" s="2205"/>
      <c r="F309" s="2384"/>
      <c r="G309" s="401"/>
      <c r="H309" s="1501"/>
      <c r="I309" s="652"/>
      <c r="J309" s="572"/>
      <c r="K309" s="1501"/>
      <c r="L309" s="215"/>
      <c r="M309" s="342"/>
      <c r="N309" s="335"/>
      <c r="O309" s="1625"/>
      <c r="P309" s="1625"/>
      <c r="AH309" s="1632">
        <v>0</v>
      </c>
    </row>
    <row s="1636" customFormat="1" customHeight="1" ht="18.75" hidden="1">
      <c r="A310" s="1781" t="s">
        <v>263</v>
      </c>
      <c r="B310" s="1781" t="s">
        <v>264</v>
      </c>
      <c r="C310" s="370"/>
      <c r="D310" s="2463"/>
      <c r="E310" s="2205"/>
      <c r="F310" s="2384" t="str">
        <f>INDEX(PT_DIFFERENTIATION_VTAR,MATCH(A310,PT_DIFFERENTIATION_VTAR_ID,0))</f>
        <v>Тариф на техническую воду</v>
      </c>
      <c r="G310" s="2428" t="str">
        <f>INDEX(PT_DIFFERENTIATION_NTAR,MATCH(B310,PT_DIFFERENTIATION_NTAR_ID,0))</f>
        <v/>
      </c>
      <c r="H310" s="1863"/>
      <c r="I310" s="1740"/>
      <c r="J310" s="1774"/>
      <c r="K310" s="1779"/>
      <c r="L310" s="1863" t="s">
        <v>339</v>
      </c>
      <c r="M310" s="342"/>
      <c r="N310" s="335"/>
      <c r="O310" s="1625"/>
      <c r="P310" s="1625"/>
      <c r="AH310" s="1632">
        <v>0</v>
      </c>
    </row>
    <row s="1636" customFormat="1" customHeight="1" ht="18.75" hidden="1">
      <c r="A311" s="1781"/>
      <c r="B311" s="1781"/>
      <c r="C311" s="370" t="s">
        <v>1185</v>
      </c>
      <c r="D311" s="2463"/>
      <c r="E311" s="2205"/>
      <c r="F311" s="2384"/>
      <c r="G311" s="2428"/>
      <c r="H311" s="1501"/>
      <c r="I311" s="652" t="s">
        <v>1184</v>
      </c>
      <c r="J311" s="572"/>
      <c r="K311" s="1501"/>
      <c r="L311" s="215"/>
      <c r="M311" s="342"/>
      <c r="N311" s="335"/>
      <c r="O311" s="1625"/>
      <c r="P311" s="1625"/>
      <c r="AH311" s="1632">
        <v>0</v>
      </c>
    </row>
    <row s="1636" customFormat="1" customHeight="1" ht="0.75" hidden="1">
      <c r="A312" s="1781"/>
      <c r="B312" s="1781"/>
      <c r="C312" s="370" t="s">
        <v>1192</v>
      </c>
      <c r="D312" s="2463"/>
      <c r="E312" s="2205"/>
      <c r="F312" s="2384"/>
      <c r="G312" s="401"/>
      <c r="H312" s="1501"/>
      <c r="I312" s="652"/>
      <c r="J312" s="572"/>
      <c r="K312" s="1501"/>
      <c r="L312" s="215"/>
      <c r="M312" s="342"/>
      <c r="N312" s="335"/>
      <c r="O312" s="1625"/>
      <c r="P312" s="1625"/>
      <c r="AH312" s="1632">
        <v>0</v>
      </c>
    </row>
    <row s="1636" customFormat="1" customHeight="1" ht="18.75" hidden="1">
      <c r="A313" s="1781" t="s">
        <v>268</v>
      </c>
      <c r="B313" s="1781" t="s">
        <v>269</v>
      </c>
      <c r="C313" s="370"/>
      <c r="D313" s="2463"/>
      <c r="E313" s="2205"/>
      <c r="F313" s="2384" t="str">
        <f>INDEX(PT_DIFFERENTIATION_VTAR,MATCH(A313,PT_DIFFERENTIATION_VTAR_ID,0))</f>
        <v>Тариф на транспортировку воды</v>
      </c>
      <c r="G313" s="2428" t="str">
        <f>INDEX(PT_DIFFERENTIATION_NTAR,MATCH(B313,PT_DIFFERENTIATION_NTAR_ID,0))</f>
        <v/>
      </c>
      <c r="H313" s="1863"/>
      <c r="I313" s="1740"/>
      <c r="J313" s="1774"/>
      <c r="K313" s="1779"/>
      <c r="L313" s="1863" t="s">
        <v>339</v>
      </c>
      <c r="M313" s="342"/>
      <c r="N313" s="335"/>
      <c r="O313" s="1625"/>
      <c r="P313" s="1625"/>
      <c r="AH313" s="1632">
        <v>0</v>
      </c>
    </row>
    <row s="1636" customFormat="1" customHeight="1" ht="18.75" hidden="1">
      <c r="A314" s="1781"/>
      <c r="B314" s="1781"/>
      <c r="C314" s="370" t="s">
        <v>1185</v>
      </c>
      <c r="D314" s="2463"/>
      <c r="E314" s="2205"/>
      <c r="F314" s="2384"/>
      <c r="G314" s="2428"/>
      <c r="H314" s="1501"/>
      <c r="I314" s="652" t="s">
        <v>1184</v>
      </c>
      <c r="J314" s="572"/>
      <c r="K314" s="1501"/>
      <c r="L314" s="215"/>
      <c r="M314" s="342"/>
      <c r="N314" s="335"/>
      <c r="O314" s="1625"/>
      <c r="P314" s="1625"/>
      <c r="AH314" s="1632">
        <v>0</v>
      </c>
    </row>
    <row s="1636" customFormat="1" customHeight="1" ht="0.75" hidden="1">
      <c r="A315" s="1781"/>
      <c r="B315" s="1781"/>
      <c r="C315" s="370" t="s">
        <v>1192</v>
      </c>
      <c r="D315" s="2463"/>
      <c r="E315" s="2205"/>
      <c r="F315" s="2384"/>
      <c r="G315" s="401"/>
      <c r="H315" s="1501"/>
      <c r="I315" s="652"/>
      <c r="J315" s="572"/>
      <c r="K315" s="1501"/>
      <c r="L315" s="215"/>
      <c r="M315" s="342"/>
      <c r="N315" s="335"/>
      <c r="O315" s="1625"/>
      <c r="P315" s="1625"/>
      <c r="AH315" s="1632">
        <v>0</v>
      </c>
    </row>
    <row s="1636" customFormat="1" customHeight="1" ht="18.75" hidden="1">
      <c r="A316" s="1781" t="s">
        <v>273</v>
      </c>
      <c r="B316" s="1781" t="s">
        <v>274</v>
      </c>
      <c r="C316" s="370"/>
      <c r="D316" s="2463"/>
      <c r="E316" s="2205"/>
      <c r="F316" s="2384" t="str">
        <f>INDEX(PT_DIFFERENTIATION_VTAR,MATCH(A316,PT_DIFFERENTIATION_VTAR_ID,0))</f>
        <v>Тариф на подвоз воды</v>
      </c>
      <c r="G316" s="2428" t="str">
        <f>INDEX(PT_DIFFERENTIATION_NTAR,MATCH(B316,PT_DIFFERENTIATION_NTAR_ID,0))</f>
        <v/>
      </c>
      <c r="H316" s="1863"/>
      <c r="I316" s="1740"/>
      <c r="J316" s="1774"/>
      <c r="K316" s="1779"/>
      <c r="L316" s="1863" t="s">
        <v>339</v>
      </c>
      <c r="M316" s="342"/>
      <c r="N316" s="335"/>
      <c r="O316" s="1625"/>
      <c r="P316" s="1625"/>
      <c r="AH316" s="1632">
        <v>0</v>
      </c>
    </row>
    <row s="1636" customFormat="1" customHeight="1" ht="18.75" hidden="1">
      <c r="A317" s="1781"/>
      <c r="B317" s="1781"/>
      <c r="C317" s="370" t="s">
        <v>1185</v>
      </c>
      <c r="D317" s="2463"/>
      <c r="E317" s="2205"/>
      <c r="F317" s="2384"/>
      <c r="G317" s="2428"/>
      <c r="H317" s="1501"/>
      <c r="I317" s="652" t="s">
        <v>1184</v>
      </c>
      <c r="J317" s="572"/>
      <c r="K317" s="1501"/>
      <c r="L317" s="215"/>
      <c r="M317" s="342"/>
      <c r="N317" s="335"/>
      <c r="O317" s="1625"/>
      <c r="P317" s="1625"/>
      <c r="AH317" s="1632">
        <v>0</v>
      </c>
    </row>
    <row s="1636" customFormat="1" customHeight="1" ht="0.75" hidden="1">
      <c r="A318" s="1781"/>
      <c r="B318" s="1781"/>
      <c r="C318" s="370" t="s">
        <v>1192</v>
      </c>
      <c r="D318" s="2463"/>
      <c r="E318" s="2205"/>
      <c r="F318" s="2384"/>
      <c r="G318" s="401"/>
      <c r="H318" s="1501"/>
      <c r="I318" s="652"/>
      <c r="J318" s="572"/>
      <c r="K318" s="1501"/>
      <c r="L318" s="215"/>
      <c r="M318" s="342"/>
      <c r="N318" s="335"/>
      <c r="O318" s="1625"/>
      <c r="P318" s="1625"/>
      <c r="AH318" s="1632">
        <v>0</v>
      </c>
    </row>
    <row s="1636" customFormat="1" customHeight="1" ht="18.75" hidden="1">
      <c r="A319" s="1781" t="s">
        <v>278</v>
      </c>
      <c r="B319" s="1781" t="s">
        <v>279</v>
      </c>
      <c r="C319" s="370"/>
      <c r="D319" s="2463"/>
      <c r="E319" s="2205"/>
      <c r="F319" s="2384" t="str">
        <f>INDEX(PT_DIFFERENTIATION_VTAR,MATCH(A319,PT_DIFFERENTIATION_VTAR_ID,0))</f>
        <v>Тариф на подключение (технологическое присоединение) к централизованной системе холодного водоснабжения</v>
      </c>
      <c r="G319" s="2428" t="str">
        <f>INDEX(PT_DIFFERENTIATION_NTAR,MATCH(B319,PT_DIFFERENTIATION_NTAR_ID,0))</f>
        <v/>
      </c>
      <c r="H319" s="1863"/>
      <c r="I319" s="1740"/>
      <c r="J319" s="1774"/>
      <c r="K319" s="1779"/>
      <c r="L319" s="1863" t="s">
        <v>339</v>
      </c>
      <c r="M319" s="342"/>
      <c r="N319" s="335"/>
      <c r="O319" s="1625"/>
      <c r="P319" s="1625"/>
      <c r="AH319" s="1632">
        <v>0</v>
      </c>
    </row>
    <row s="1636" customFormat="1" customHeight="1" ht="18.75" hidden="1">
      <c r="A320" s="1781"/>
      <c r="B320" s="1781"/>
      <c r="C320" s="370" t="s">
        <v>1185</v>
      </c>
      <c r="D320" s="2463"/>
      <c r="E320" s="2205"/>
      <c r="F320" s="2384"/>
      <c r="G320" s="2428"/>
      <c r="H320" s="1501"/>
      <c r="I320" s="652" t="s">
        <v>1184</v>
      </c>
      <c r="J320" s="572"/>
      <c r="K320" s="1501"/>
      <c r="L320" s="215"/>
      <c r="M320" s="342"/>
      <c r="N320" s="335"/>
      <c r="O320" s="1625"/>
      <c r="P320" s="1625"/>
      <c r="AH320" s="1632">
        <v>0</v>
      </c>
    </row>
    <row s="1636" customFormat="1" customHeight="1" ht="0.75" hidden="1">
      <c r="A321" s="1781"/>
      <c r="B321" s="1781"/>
      <c r="C321" s="370" t="s">
        <v>1192</v>
      </c>
      <c r="D321" s="2463"/>
      <c r="E321" s="2205"/>
      <c r="F321" s="2384"/>
      <c r="G321" s="401"/>
      <c r="H321" s="1501"/>
      <c r="I321" s="652"/>
      <c r="J321" s="572"/>
      <c r="K321" s="1501"/>
      <c r="L321" s="215"/>
      <c r="M321" s="342"/>
      <c r="N321" s="335"/>
      <c r="O321" s="1625"/>
      <c r="P321" s="1625"/>
      <c r="AH321" s="1632">
        <v>0</v>
      </c>
    </row>
    <row s="1636" customFormat="1" customHeight="1" ht="18.75" hidden="1">
      <c r="A322" s="1781" t="s">
        <v>283</v>
      </c>
      <c r="B322" s="1781" t="s">
        <v>284</v>
      </c>
      <c r="C322" s="370"/>
      <c r="D322" s="2463"/>
      <c r="E322" s="2205"/>
      <c r="F322" s="2384" t="str">
        <f>INDEX(PT_DIFFERENTIATION_VTAR,MATCH(A322,PT_DIFFERENTIATION_VTAR_ID,0))</f>
        <v>Тариф на горячую воду (горячее водоснабжение)</v>
      </c>
      <c r="G322" s="2428" t="str">
        <f>INDEX(PT_DIFFERENTIATION_NTAR,MATCH(B322,PT_DIFFERENTIATION_NTAR_ID,0))</f>
        <v/>
      </c>
      <c r="H322" s="1863"/>
      <c r="I322" s="1740"/>
      <c r="J322" s="1774"/>
      <c r="K322" s="1779"/>
      <c r="L322" s="1863" t="s">
        <v>339</v>
      </c>
      <c r="M322" s="342"/>
      <c r="N322" s="335"/>
      <c r="O322" s="1625"/>
      <c r="P322" s="1625"/>
      <c r="AH322" s="1632">
        <v>0</v>
      </c>
    </row>
    <row s="1636" customFormat="1" customHeight="1" ht="18.75" hidden="1">
      <c r="A323" s="1781"/>
      <c r="B323" s="1781"/>
      <c r="C323" s="370" t="s">
        <v>1185</v>
      </c>
      <c r="D323" s="2463"/>
      <c r="E323" s="2205"/>
      <c r="F323" s="2384"/>
      <c r="G323" s="2428"/>
      <c r="H323" s="1501"/>
      <c r="I323" s="652" t="s">
        <v>1184</v>
      </c>
      <c r="J323" s="572"/>
      <c r="K323" s="1501"/>
      <c r="L323" s="215"/>
      <c r="M323" s="342"/>
      <c r="N323" s="335"/>
      <c r="O323" s="1625"/>
      <c r="P323" s="1625"/>
      <c r="AH323" s="1632">
        <v>0</v>
      </c>
    </row>
    <row s="1636" customFormat="1" customHeight="1" ht="0.75" hidden="1">
      <c r="A324" s="1781"/>
      <c r="B324" s="1781"/>
      <c r="C324" s="370" t="s">
        <v>1192</v>
      </c>
      <c r="D324" s="2463"/>
      <c r="E324" s="2205"/>
      <c r="F324" s="2384"/>
      <c r="G324" s="401"/>
      <c r="H324" s="1501"/>
      <c r="I324" s="652"/>
      <c r="J324" s="572"/>
      <c r="K324" s="1501"/>
      <c r="L324" s="215"/>
      <c r="M324" s="342"/>
      <c r="N324" s="335"/>
      <c r="O324" s="1625"/>
      <c r="P324" s="1625"/>
      <c r="AH324" s="1632">
        <v>0</v>
      </c>
    </row>
    <row s="1636" customFormat="1" customHeight="1" ht="18.75" hidden="1">
      <c r="A325" s="1781" t="s">
        <v>288</v>
      </c>
      <c r="B325" s="1781" t="s">
        <v>289</v>
      </c>
      <c r="C325" s="370"/>
      <c r="D325" s="2463"/>
      <c r="E325" s="2205"/>
      <c r="F325" s="2384" t="str">
        <f>INDEX(PT_DIFFERENTIATION_VTAR,MATCH(A325,PT_DIFFERENTIATION_VTAR_ID,0))</f>
        <v>Тариф на транспортировку горячей воды</v>
      </c>
      <c r="G325" s="2428" t="str">
        <f>INDEX(PT_DIFFERENTIATION_NTAR,MATCH(B325,PT_DIFFERENTIATION_NTAR_ID,0))</f>
        <v/>
      </c>
      <c r="H325" s="1863"/>
      <c r="I325" s="1740"/>
      <c r="J325" s="1774"/>
      <c r="K325" s="1779"/>
      <c r="L325" s="1863" t="s">
        <v>339</v>
      </c>
      <c r="M325" s="342"/>
      <c r="N325" s="335"/>
      <c r="O325" s="1625"/>
      <c r="P325" s="1625"/>
      <c r="AH325" s="1632">
        <v>0</v>
      </c>
    </row>
    <row s="1636" customFormat="1" customHeight="1" ht="18.75" hidden="1">
      <c r="A326" s="1781"/>
      <c r="B326" s="1781"/>
      <c r="C326" s="370" t="s">
        <v>1185</v>
      </c>
      <c r="D326" s="2463"/>
      <c r="E326" s="2205"/>
      <c r="F326" s="2384"/>
      <c r="G326" s="2428"/>
      <c r="H326" s="1501"/>
      <c r="I326" s="652" t="s">
        <v>1184</v>
      </c>
      <c r="J326" s="572"/>
      <c r="K326" s="1501"/>
      <c r="L326" s="215"/>
      <c r="M326" s="342"/>
      <c r="N326" s="335"/>
      <c r="O326" s="1625"/>
      <c r="P326" s="1625"/>
      <c r="AH326" s="1632">
        <v>0</v>
      </c>
    </row>
    <row s="1636" customFormat="1" customHeight="1" ht="0.75" hidden="1">
      <c r="A327" s="1781"/>
      <c r="B327" s="1781"/>
      <c r="C327" s="370" t="s">
        <v>1192</v>
      </c>
      <c r="D327" s="2463"/>
      <c r="E327" s="2205"/>
      <c r="F327" s="2384"/>
      <c r="G327" s="401"/>
      <c r="H327" s="1501"/>
      <c r="I327" s="652"/>
      <c r="J327" s="572"/>
      <c r="K327" s="1501"/>
      <c r="L327" s="215"/>
      <c r="M327" s="342"/>
      <c r="N327" s="335"/>
      <c r="O327" s="1625"/>
      <c r="P327" s="1625"/>
      <c r="AH327" s="1632">
        <v>0</v>
      </c>
    </row>
    <row s="1636" customFormat="1" customHeight="1" ht="18.75" hidden="1">
      <c r="A328" s="1781" t="s">
        <v>293</v>
      </c>
      <c r="B328" s="1781" t="s">
        <v>294</v>
      </c>
      <c r="C328" s="370"/>
      <c r="D328" s="2463"/>
      <c r="E328" s="2205"/>
      <c r="F328" s="2384" t="str">
        <f>INDEX(PT_DIFFERENTIATION_VTAR,MATCH(A328,PT_DIFFERENTIATION_VTAR_ID,0))</f>
        <v>Тариф на подключение (технологическое присоединение) к централизованной системе горячего водоснабжения</v>
      </c>
      <c r="G328" s="2428" t="str">
        <f>INDEX(PT_DIFFERENTIATION_NTAR,MATCH(B328,PT_DIFFERENTIATION_NTAR_ID,0))</f>
        <v/>
      </c>
      <c r="H328" s="1863"/>
      <c r="I328" s="1740"/>
      <c r="J328" s="1774"/>
      <c r="K328" s="1779"/>
      <c r="L328" s="1863" t="s">
        <v>339</v>
      </c>
      <c r="M328" s="342"/>
      <c r="N328" s="335"/>
      <c r="O328" s="1625"/>
      <c r="P328" s="1625"/>
      <c r="AH328" s="1632">
        <v>0</v>
      </c>
    </row>
    <row s="1636" customFormat="1" customHeight="1" ht="18.75" hidden="1">
      <c r="A329" s="1781"/>
      <c r="B329" s="1781"/>
      <c r="C329" s="370" t="s">
        <v>1185</v>
      </c>
      <c r="D329" s="2463"/>
      <c r="E329" s="2205"/>
      <c r="F329" s="2384"/>
      <c r="G329" s="2428"/>
      <c r="H329" s="1501"/>
      <c r="I329" s="652" t="s">
        <v>1184</v>
      </c>
      <c r="J329" s="572"/>
      <c r="K329" s="1501"/>
      <c r="L329" s="215"/>
      <c r="M329" s="342"/>
      <c r="N329" s="335"/>
      <c r="O329" s="1625"/>
      <c r="P329" s="1625"/>
      <c r="AH329" s="1632">
        <v>0</v>
      </c>
    </row>
    <row s="1636" customFormat="1" customHeight="1" ht="0.75" hidden="1">
      <c r="A330" s="1781"/>
      <c r="B330" s="1781"/>
      <c r="C330" s="370" t="s">
        <v>1192</v>
      </c>
      <c r="D330" s="2463"/>
      <c r="E330" s="2205"/>
      <c r="F330" s="2384"/>
      <c r="G330" s="401"/>
      <c r="H330" s="1501"/>
      <c r="I330" s="652"/>
      <c r="J330" s="572"/>
      <c r="K330" s="1501"/>
      <c r="L330" s="215"/>
      <c r="M330" s="342"/>
      <c r="N330" s="335"/>
      <c r="O330" s="1625"/>
      <c r="P330" s="1625"/>
      <c r="AH330" s="1632">
        <v>0</v>
      </c>
    </row>
    <row s="1636" customFormat="1" customHeight="1" ht="18.75" hidden="1">
      <c r="A331" s="1781" t="s">
        <v>298</v>
      </c>
      <c r="B331" s="1781" t="s">
        <v>299</v>
      </c>
      <c r="C331" s="370"/>
      <c r="D331" s="2463"/>
      <c r="E331" s="2205"/>
      <c r="F331" s="2384" t="str">
        <f>INDEX(PT_DIFFERENTIATION_VTAR,MATCH(A331,PT_DIFFERENTIATION_VTAR_ID,0))</f>
        <v>Тариф на водоотведение</v>
      </c>
      <c r="G331" s="2428" t="str">
        <f>INDEX(PT_DIFFERENTIATION_NTAR,MATCH(B331,PT_DIFFERENTIATION_NTAR_ID,0))</f>
        <v/>
      </c>
      <c r="H331" s="1863"/>
      <c r="I331" s="1740"/>
      <c r="J331" s="1774"/>
      <c r="K331" s="1779"/>
      <c r="L331" s="1863" t="s">
        <v>339</v>
      </c>
      <c r="M331" s="342"/>
      <c r="N331" s="335"/>
      <c r="O331" s="1625"/>
      <c r="P331" s="1625"/>
      <c r="AH331" s="1632">
        <v>0</v>
      </c>
    </row>
    <row s="1636" customFormat="1" customHeight="1" ht="18.75" hidden="1">
      <c r="A332" s="1781"/>
      <c r="B332" s="1781"/>
      <c r="C332" s="370" t="s">
        <v>1185</v>
      </c>
      <c r="D332" s="2463"/>
      <c r="E332" s="2205"/>
      <c r="F332" s="2384"/>
      <c r="G332" s="2428"/>
      <c r="H332" s="1501"/>
      <c r="I332" s="652" t="s">
        <v>1184</v>
      </c>
      <c r="J332" s="572"/>
      <c r="K332" s="1501"/>
      <c r="L332" s="215"/>
      <c r="M332" s="342"/>
      <c r="N332" s="335"/>
      <c r="O332" s="1625"/>
      <c r="P332" s="1625"/>
      <c r="AH332" s="1632">
        <v>0</v>
      </c>
    </row>
    <row s="1636" customFormat="1" customHeight="1" ht="0.75" hidden="1">
      <c r="A333" s="1781"/>
      <c r="B333" s="1781"/>
      <c r="C333" s="370" t="s">
        <v>1192</v>
      </c>
      <c r="D333" s="2463"/>
      <c r="E333" s="2205"/>
      <c r="F333" s="2384"/>
      <c r="G333" s="401"/>
      <c r="H333" s="1501"/>
      <c r="I333" s="652"/>
      <c r="J333" s="572"/>
      <c r="K333" s="1501"/>
      <c r="L333" s="215"/>
      <c r="M333" s="342"/>
      <c r="N333" s="335"/>
      <c r="O333" s="1625"/>
      <c r="P333" s="1625"/>
      <c r="AH333" s="1632">
        <v>0</v>
      </c>
    </row>
    <row s="1636" customFormat="1" customHeight="1" ht="18.75" hidden="1">
      <c r="A334" s="1781" t="s">
        <v>303</v>
      </c>
      <c r="B334" s="1781" t="s">
        <v>304</v>
      </c>
      <c r="C334" s="370"/>
      <c r="D334" s="2463"/>
      <c r="E334" s="2205"/>
      <c r="F334" s="2384" t="str">
        <f>INDEX(PT_DIFFERENTIATION_VTAR,MATCH(A334,PT_DIFFERENTIATION_VTAR_ID,0))</f>
        <v>Тариф на транспортировку сточных вод</v>
      </c>
      <c r="G334" s="2428" t="str">
        <f>INDEX(PT_DIFFERENTIATION_NTAR,MATCH(B334,PT_DIFFERENTIATION_NTAR_ID,0))</f>
        <v/>
      </c>
      <c r="H334" s="1863"/>
      <c r="I334" s="1740"/>
      <c r="J334" s="1774"/>
      <c r="K334" s="1779"/>
      <c r="L334" s="1863" t="s">
        <v>339</v>
      </c>
      <c r="M334" s="342"/>
      <c r="N334" s="335"/>
      <c r="O334" s="1625"/>
      <c r="P334" s="1625"/>
      <c r="AH334" s="1632">
        <v>0</v>
      </c>
    </row>
    <row s="1636" customFormat="1" customHeight="1" ht="18.75" hidden="1">
      <c r="A335" s="1781"/>
      <c r="B335" s="1781"/>
      <c r="C335" s="370" t="s">
        <v>1185</v>
      </c>
      <c r="D335" s="2463"/>
      <c r="E335" s="2205"/>
      <c r="F335" s="2384"/>
      <c r="G335" s="2428"/>
      <c r="H335" s="1501"/>
      <c r="I335" s="652" t="s">
        <v>1184</v>
      </c>
      <c r="J335" s="572"/>
      <c r="K335" s="1501"/>
      <c r="L335" s="215"/>
      <c r="M335" s="342"/>
      <c r="N335" s="335"/>
      <c r="O335" s="1625"/>
      <c r="P335" s="1625"/>
      <c r="AH335" s="1632">
        <v>0</v>
      </c>
    </row>
    <row s="1636" customFormat="1" customHeight="1" ht="0.75" hidden="1">
      <c r="A336" s="1781"/>
      <c r="B336" s="1781"/>
      <c r="C336" s="370" t="s">
        <v>1192</v>
      </c>
      <c r="D336" s="2463"/>
      <c r="E336" s="2205"/>
      <c r="F336" s="2384"/>
      <c r="G336" s="401"/>
      <c r="H336" s="1501"/>
      <c r="I336" s="652"/>
      <c r="J336" s="572"/>
      <c r="K336" s="1501"/>
      <c r="L336" s="215"/>
      <c r="M336" s="342"/>
      <c r="N336" s="335"/>
      <c r="O336" s="1625"/>
      <c r="P336" s="1625"/>
      <c r="AH336" s="1632">
        <v>0</v>
      </c>
    </row>
    <row s="1636" customFormat="1" customHeight="1" ht="18.75" hidden="1">
      <c r="A337" s="1781" t="s">
        <v>308</v>
      </c>
      <c r="B337" s="1781" t="s">
        <v>309</v>
      </c>
      <c r="C337" s="370"/>
      <c r="D337" s="2463"/>
      <c r="E337" s="2205"/>
      <c r="F337" s="2384" t="str">
        <f>INDEX(PT_DIFFERENTIATION_VTAR,MATCH(A337,PT_DIFFERENTIATION_VTAR_ID,0))</f>
        <v>Тариф на подключение (технологическое присоединение) к централизованной системе водоотведения</v>
      </c>
      <c r="G337" s="2428" t="str">
        <f>INDEX(PT_DIFFERENTIATION_NTAR,MATCH(B337,PT_DIFFERENTIATION_NTAR_ID,0))</f>
        <v/>
      </c>
      <c r="H337" s="1863"/>
      <c r="I337" s="1740"/>
      <c r="J337" s="1774"/>
      <c r="K337" s="1779"/>
      <c r="L337" s="1863" t="s">
        <v>339</v>
      </c>
      <c r="M337" s="342"/>
      <c r="N337" s="335"/>
      <c r="O337" s="1625"/>
      <c r="P337" s="1625"/>
      <c r="AH337" s="1632">
        <v>0</v>
      </c>
    </row>
    <row s="1636" customFormat="1" customHeight="1" ht="18.75" hidden="1">
      <c r="A338" s="1781"/>
      <c r="B338" s="1781"/>
      <c r="C338" s="370" t="s">
        <v>1185</v>
      </c>
      <c r="D338" s="2463"/>
      <c r="E338" s="2205"/>
      <c r="F338" s="2384"/>
      <c r="G338" s="2428"/>
      <c r="H338" s="1501"/>
      <c r="I338" s="652" t="s">
        <v>1184</v>
      </c>
      <c r="J338" s="572"/>
      <c r="K338" s="1501"/>
      <c r="L338" s="215"/>
      <c r="M338" s="342"/>
      <c r="N338" s="335"/>
      <c r="O338" s="1625"/>
      <c r="P338" s="1625"/>
      <c r="AH338" s="1632">
        <v>0</v>
      </c>
    </row>
    <row s="1636" customFormat="1" customHeight="1" ht="1.05">
      <c r="A339" s="1781"/>
      <c r="B339" s="1781"/>
      <c r="C339" s="370" t="s">
        <v>1192</v>
      </c>
      <c r="D339" s="2463"/>
      <c r="E339" s="2205"/>
      <c r="F339" s="2384"/>
      <c r="G339" s="401"/>
      <c r="H339" s="1501"/>
      <c r="I339" s="652"/>
      <c r="J339" s="572"/>
      <c r="K339" s="1501"/>
      <c r="L339" s="215"/>
      <c r="M339" s="342"/>
      <c r="N339" s="335"/>
      <c r="O339" s="1625"/>
      <c r="P339" s="1625"/>
      <c r="AH339" s="1632">
        <v>1</v>
      </c>
    </row>
    <row s="1824" customFormat="1" customHeight="1" ht="3">
      <c r="A340" s="1781"/>
      <c r="B340" s="1781"/>
      <c r="C340" s="1782"/>
      <c r="E340" s="403"/>
      <c r="F340" s="403"/>
      <c r="G340" s="403"/>
      <c r="H340" s="403"/>
      <c r="I340" s="403"/>
      <c r="J340" s="403"/>
      <c r="K340" s="403"/>
      <c r="L340" s="403"/>
      <c r="M340" s="403"/>
      <c r="O340" s="197"/>
      <c r="P340" s="197"/>
      <c r="AH340" s="141">
        <v>3</v>
      </c>
    </row>
    <row customHeight="1" ht="26.25">
      <c r="E341" s="203"/>
      <c r="F341" s="2286"/>
      <c r="G341" s="2286"/>
      <c r="H341" s="2286"/>
      <c r="I341" s="2286"/>
      <c r="J341" s="2286"/>
      <c r="K341" s="2286"/>
      <c r="L341" s="2286"/>
      <c r="M341" s="2286"/>
      <c r="AH341" s="375">
        <v>25</v>
      </c>
    </row>
    <row customHeight="1" ht="14.25" hidden="1">
      <c r="A342" s="1780" t="s">
        <v>85</v>
      </c>
      <c r="B342" s="1780">
        <v>0</v>
      </c>
      <c r="C342" s="370">
        <v>0</v>
      </c>
      <c r="D342" s="345">
        <v>3</v>
      </c>
      <c r="E342" s="375">
        <v>6</v>
      </c>
      <c r="F342" s="375">
        <v>46</v>
      </c>
      <c r="G342" s="375">
        <v>35</v>
      </c>
      <c r="H342" s="375">
        <v>3</v>
      </c>
      <c r="I342" s="375">
        <v>11</v>
      </c>
      <c r="J342" s="375">
        <v>11</v>
      </c>
      <c r="K342" s="375">
        <v>35</v>
      </c>
      <c r="L342" s="375">
        <v>35</v>
      </c>
      <c r="M342" s="375">
        <v>84</v>
      </c>
      <c r="N342" s="375">
        <v>10</v>
      </c>
      <c r="O342" s="351">
        <v>10</v>
      </c>
      <c r="P342" s="351">
        <v>10</v>
      </c>
      <c r="Q342" s="375">
        <v>10</v>
      </c>
      <c r="R342" s="375">
        <v>10</v>
      </c>
      <c r="S342" s="375">
        <v>10</v>
      </c>
      <c r="T342" s="375">
        <v>10</v>
      </c>
      <c r="U342" s="375">
        <v>10</v>
      </c>
      <c r="V342" s="375">
        <v>10</v>
      </c>
      <c r="W342" s="375">
        <v>10</v>
      </c>
      <c r="X342" s="375">
        <v>10</v>
      </c>
      <c r="Y342" s="375">
        <v>10</v>
      </c>
      <c r="Z342" s="375">
        <v>10</v>
      </c>
      <c r="AA342" s="375">
        <v>10</v>
      </c>
      <c r="AB342" s="375">
        <v>10</v>
      </c>
      <c r="AC342" s="375">
        <v>10</v>
      </c>
      <c r="AD342" s="375">
        <v>10</v>
      </c>
      <c r="AE342" s="375">
        <v>10</v>
      </c>
      <c r="AF342" s="375">
        <v>10</v>
      </c>
      <c r="AG342" s="375">
        <v>10</v>
      </c>
      <c r="AH342" s="375">
        <v>14</v>
      </c>
    </row>
  </sheetData>
  <sheetProtection formatColumns="0" formatRows="0" autoFilter="0" sort="0" insertRows="0" insertColumns="1" deleteRows="0" deleteColumns="0"/>
  <mergeCells count="433">
    <mergeCell ref="G50:G51"/>
    <mergeCell ref="D115:D117"/>
    <mergeCell ref="E115:E117"/>
    <mergeCell ref="F115:F117"/>
    <mergeCell ref="G115:G116"/>
    <mergeCell ref="D178:D180"/>
    <mergeCell ref="E178:E180"/>
    <mergeCell ref="F178:F180"/>
    <mergeCell ref="G178:G179"/>
    <mergeCell ref="D71:D73"/>
    <mergeCell ref="E71:E73"/>
    <mergeCell ref="F71:F73"/>
    <mergeCell ref="D92:D94"/>
    <mergeCell ref="E92:E94"/>
    <mergeCell ref="D74:D76"/>
    <mergeCell ref="E74:E76"/>
    <mergeCell ref="F74:F76"/>
    <mergeCell ref="G161:G162"/>
    <mergeCell ref="G164:G165"/>
    <mergeCell ref="E50:E52"/>
    <mergeCell ref="F50:F52"/>
    <mergeCell ref="G98:G99"/>
    <mergeCell ref="G101:G102"/>
    <mergeCell ref="D77:D79"/>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16:F318"/>
    <mergeCell ref="G313:G31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41:M341"/>
    <mergeCell ref="F277:L277"/>
    <mergeCell ref="D278:D280"/>
    <mergeCell ref="E278:E280"/>
    <mergeCell ref="F278:F280"/>
    <mergeCell ref="D281:D283"/>
    <mergeCell ref="E281:E283"/>
    <mergeCell ref="F281:F283"/>
    <mergeCell ref="D284:D286"/>
    <mergeCell ref="D290:D292"/>
    <mergeCell ref="E290:E292"/>
    <mergeCell ref="F290:F292"/>
    <mergeCell ref="D293:D295"/>
    <mergeCell ref="E293:E295"/>
    <mergeCell ref="F293:F295"/>
    <mergeCell ref="E284:E286"/>
    <mergeCell ref="F284:F286"/>
    <mergeCell ref="D287:D289"/>
    <mergeCell ref="E287:E289"/>
    <mergeCell ref="F313:F315"/>
    <mergeCell ref="D316:D318"/>
    <mergeCell ref="E316:E318"/>
    <mergeCell ref="D337:D339"/>
    <mergeCell ref="E337:E339"/>
    <mergeCell ref="G45:G46"/>
    <mergeCell ref="G53:G54"/>
    <mergeCell ref="G56:G57"/>
    <mergeCell ref="G59:G60"/>
    <mergeCell ref="M215:M218"/>
    <mergeCell ref="M89:M92"/>
    <mergeCell ref="F151:L151"/>
    <mergeCell ref="M152:M155"/>
    <mergeCell ref="F214:L214"/>
    <mergeCell ref="F53:F55"/>
    <mergeCell ref="F56:F58"/>
    <mergeCell ref="F77:F79"/>
    <mergeCell ref="F80:F82"/>
    <mergeCell ref="F92:F94"/>
    <mergeCell ref="F95:F97"/>
    <mergeCell ref="M24:M85"/>
    <mergeCell ref="G42:G43"/>
    <mergeCell ref="G133:G134"/>
    <mergeCell ref="G136:G137"/>
    <mergeCell ref="G139:G140"/>
    <mergeCell ref="G142:G143"/>
    <mergeCell ref="G158:G159"/>
    <mergeCell ref="G92:G93"/>
    <mergeCell ref="G95:G96"/>
    <mergeCell ref="D45:D49"/>
    <mergeCell ref="E45:E49"/>
    <mergeCell ref="F45:F49"/>
    <mergeCell ref="D65:D67"/>
    <mergeCell ref="E65:E67"/>
    <mergeCell ref="F65:F67"/>
    <mergeCell ref="D68:D70"/>
    <mergeCell ref="E68:E70"/>
    <mergeCell ref="F68:F70"/>
    <mergeCell ref="D59:D61"/>
    <mergeCell ref="E59:E61"/>
    <mergeCell ref="F59:F61"/>
    <mergeCell ref="D62:D64"/>
    <mergeCell ref="E62:E64"/>
    <mergeCell ref="F62:F64"/>
    <mergeCell ref="D53:D55"/>
    <mergeCell ref="E53:E55"/>
    <mergeCell ref="D56:D58"/>
    <mergeCell ref="E56:E58"/>
    <mergeCell ref="D50:D52"/>
    <mergeCell ref="E77:E79"/>
    <mergeCell ref="D80:D82"/>
    <mergeCell ref="E80:E82"/>
    <mergeCell ref="D95:D97"/>
    <mergeCell ref="E95:E97"/>
    <mergeCell ref="D110:D114"/>
    <mergeCell ref="E110:E114"/>
    <mergeCell ref="F110:F114"/>
    <mergeCell ref="F98:F100"/>
    <mergeCell ref="D101:D103"/>
    <mergeCell ref="E101:E103"/>
    <mergeCell ref="F101:F103"/>
    <mergeCell ref="D83:D85"/>
    <mergeCell ref="E83:E85"/>
    <mergeCell ref="F83:F85"/>
    <mergeCell ref="D89:D91"/>
    <mergeCell ref="E89:E91"/>
    <mergeCell ref="F89:F91"/>
    <mergeCell ref="D98:D100"/>
    <mergeCell ref="E98:E100"/>
    <mergeCell ref="F86:L86"/>
    <mergeCell ref="H87:I87"/>
    <mergeCell ref="F88:L88"/>
    <mergeCell ref="G104:G105"/>
    <mergeCell ref="D118:D120"/>
    <mergeCell ref="E118:E120"/>
    <mergeCell ref="F118:F120"/>
    <mergeCell ref="D104:D106"/>
    <mergeCell ref="E104:E106"/>
    <mergeCell ref="F104:F106"/>
    <mergeCell ref="D107:D109"/>
    <mergeCell ref="E107:E109"/>
    <mergeCell ref="F107:F109"/>
    <mergeCell ref="D121:D123"/>
    <mergeCell ref="E121:E123"/>
    <mergeCell ref="F121:F123"/>
    <mergeCell ref="D124:D126"/>
    <mergeCell ref="E124:E126"/>
    <mergeCell ref="F124:F126"/>
    <mergeCell ref="G124:G125"/>
    <mergeCell ref="G127:G128"/>
    <mergeCell ref="G130:G131"/>
    <mergeCell ref="D127:D129"/>
    <mergeCell ref="E127:E129"/>
    <mergeCell ref="F127:F129"/>
    <mergeCell ref="D130:D132"/>
    <mergeCell ref="E130:E132"/>
    <mergeCell ref="F130:F132"/>
    <mergeCell ref="D139:D141"/>
    <mergeCell ref="E139:E141"/>
    <mergeCell ref="F139:F141"/>
    <mergeCell ref="D142:D144"/>
    <mergeCell ref="E142:E144"/>
    <mergeCell ref="F142:F144"/>
    <mergeCell ref="D133:D135"/>
    <mergeCell ref="E133:E135"/>
    <mergeCell ref="F133:F135"/>
    <mergeCell ref="D136:D138"/>
    <mergeCell ref="E136:E138"/>
    <mergeCell ref="F136:F138"/>
    <mergeCell ref="G145:G146"/>
    <mergeCell ref="G148:G149"/>
    <mergeCell ref="G152:G153"/>
    <mergeCell ref="G155:G156"/>
    <mergeCell ref="D164:D166"/>
    <mergeCell ref="E164:E166"/>
    <mergeCell ref="F164:F166"/>
    <mergeCell ref="D167:D169"/>
    <mergeCell ref="E167:E169"/>
    <mergeCell ref="F167:F169"/>
    <mergeCell ref="D158:D160"/>
    <mergeCell ref="D155:D157"/>
    <mergeCell ref="E155:E157"/>
    <mergeCell ref="F155:F157"/>
    <mergeCell ref="D145:D147"/>
    <mergeCell ref="E145:E147"/>
    <mergeCell ref="F145:F147"/>
    <mergeCell ref="D148:D150"/>
    <mergeCell ref="E148:E150"/>
    <mergeCell ref="F148:F150"/>
    <mergeCell ref="D152:D154"/>
    <mergeCell ref="E152:E154"/>
    <mergeCell ref="F152:F154"/>
    <mergeCell ref="E158:E160"/>
    <mergeCell ref="F158:F160"/>
    <mergeCell ref="D161:D163"/>
    <mergeCell ref="E161:E163"/>
    <mergeCell ref="F161:F163"/>
    <mergeCell ref="D170:D172"/>
    <mergeCell ref="E170:E172"/>
    <mergeCell ref="F170:F172"/>
    <mergeCell ref="D173:D177"/>
    <mergeCell ref="E173:E177"/>
    <mergeCell ref="F173:F177"/>
    <mergeCell ref="D196:D198"/>
    <mergeCell ref="E196:E198"/>
    <mergeCell ref="F196:F198"/>
    <mergeCell ref="D187:D189"/>
    <mergeCell ref="E187:E189"/>
    <mergeCell ref="F187:F189"/>
    <mergeCell ref="D190:D192"/>
    <mergeCell ref="E190:E192"/>
    <mergeCell ref="F190:F192"/>
    <mergeCell ref="D181:D183"/>
    <mergeCell ref="E181:E183"/>
    <mergeCell ref="F181:F183"/>
    <mergeCell ref="D184:D186"/>
    <mergeCell ref="E184:E186"/>
    <mergeCell ref="F184:F186"/>
    <mergeCell ref="G184:G185"/>
    <mergeCell ref="D193:D195"/>
    <mergeCell ref="E193:E195"/>
    <mergeCell ref="F193:F195"/>
    <mergeCell ref="D199:D201"/>
    <mergeCell ref="E199:E201"/>
    <mergeCell ref="F199:F201"/>
    <mergeCell ref="D202:D204"/>
    <mergeCell ref="E202:E204"/>
    <mergeCell ref="F202:F204"/>
    <mergeCell ref="G199:G200"/>
    <mergeCell ref="G202:G203"/>
    <mergeCell ref="D221:D223"/>
    <mergeCell ref="E221:E223"/>
    <mergeCell ref="F221:F223"/>
    <mergeCell ref="D211:D213"/>
    <mergeCell ref="E211:E213"/>
    <mergeCell ref="F211:F213"/>
    <mergeCell ref="D215:D217"/>
    <mergeCell ref="E215:E217"/>
    <mergeCell ref="F215:F217"/>
    <mergeCell ref="D205:D207"/>
    <mergeCell ref="E205:E207"/>
    <mergeCell ref="F205:F207"/>
    <mergeCell ref="D208:D210"/>
    <mergeCell ref="E208:E210"/>
    <mergeCell ref="F208:F210"/>
    <mergeCell ref="G208:G209"/>
    <mergeCell ref="D230:D232"/>
    <mergeCell ref="E230:E232"/>
    <mergeCell ref="F230:F232"/>
    <mergeCell ref="D233:D235"/>
    <mergeCell ref="E233:E235"/>
    <mergeCell ref="F233:F235"/>
    <mergeCell ref="G233:G234"/>
    <mergeCell ref="D218:D220"/>
    <mergeCell ref="E218:E220"/>
    <mergeCell ref="F218:F220"/>
    <mergeCell ref="D224:D226"/>
    <mergeCell ref="E224:E226"/>
    <mergeCell ref="F224:F226"/>
    <mergeCell ref="D227:D229"/>
    <mergeCell ref="E227:E229"/>
    <mergeCell ref="F227:F229"/>
    <mergeCell ref="D247:D249"/>
    <mergeCell ref="E247:E249"/>
    <mergeCell ref="F247:F249"/>
    <mergeCell ref="G241:G242"/>
    <mergeCell ref="D253:D255"/>
    <mergeCell ref="E253:E255"/>
    <mergeCell ref="F253:F255"/>
    <mergeCell ref="D250:D252"/>
    <mergeCell ref="E250:E252"/>
    <mergeCell ref="F250:F252"/>
    <mergeCell ref="D236:D240"/>
    <mergeCell ref="E236:E240"/>
    <mergeCell ref="F236:F240"/>
    <mergeCell ref="D244:D246"/>
    <mergeCell ref="E244:E246"/>
    <mergeCell ref="F244:F246"/>
    <mergeCell ref="D241:D243"/>
    <mergeCell ref="E241:E243"/>
    <mergeCell ref="F241:F243"/>
    <mergeCell ref="D256:D258"/>
    <mergeCell ref="E256:E258"/>
    <mergeCell ref="F256:F258"/>
    <mergeCell ref="G253:G254"/>
    <mergeCell ref="G256:G257"/>
    <mergeCell ref="G259:G260"/>
    <mergeCell ref="D274:D276"/>
    <mergeCell ref="E274:E276"/>
    <mergeCell ref="F274:F276"/>
    <mergeCell ref="D265:D267"/>
    <mergeCell ref="E265:E267"/>
    <mergeCell ref="F265:F267"/>
    <mergeCell ref="D268:D270"/>
    <mergeCell ref="E268:E270"/>
    <mergeCell ref="F268:F270"/>
    <mergeCell ref="D259:D261"/>
    <mergeCell ref="E259:E261"/>
    <mergeCell ref="F259:F261"/>
    <mergeCell ref="D262:D264"/>
    <mergeCell ref="E262:E264"/>
    <mergeCell ref="F262:F264"/>
    <mergeCell ref="G262:G263"/>
    <mergeCell ref="D271:D273"/>
    <mergeCell ref="E271:E273"/>
    <mergeCell ref="F271:F273"/>
    <mergeCell ref="F287:F289"/>
    <mergeCell ref="D307:D309"/>
    <mergeCell ref="E307:E309"/>
    <mergeCell ref="F307:F309"/>
    <mergeCell ref="D310:D312"/>
    <mergeCell ref="E310:E312"/>
    <mergeCell ref="F310:F312"/>
    <mergeCell ref="D296:D298"/>
    <mergeCell ref="E296:E298"/>
    <mergeCell ref="F296:F298"/>
    <mergeCell ref="D299:D303"/>
    <mergeCell ref="E299:E303"/>
    <mergeCell ref="F299:F303"/>
    <mergeCell ref="D304:D306"/>
    <mergeCell ref="E304:E306"/>
    <mergeCell ref="F304:F306"/>
    <mergeCell ref="F337:F339"/>
    <mergeCell ref="M278:M281"/>
    <mergeCell ref="D331:D333"/>
    <mergeCell ref="E331:E333"/>
    <mergeCell ref="F331:F333"/>
    <mergeCell ref="D334:D336"/>
    <mergeCell ref="E334:E336"/>
    <mergeCell ref="F334:F336"/>
    <mergeCell ref="D325:D327"/>
    <mergeCell ref="E325:E327"/>
    <mergeCell ref="F325:F327"/>
    <mergeCell ref="D328:D330"/>
    <mergeCell ref="E328:E330"/>
    <mergeCell ref="F328:F330"/>
    <mergeCell ref="D319:D321"/>
    <mergeCell ref="E319:E321"/>
    <mergeCell ref="F319:F321"/>
    <mergeCell ref="D322:D324"/>
    <mergeCell ref="E322:E324"/>
    <mergeCell ref="F322:F324"/>
    <mergeCell ref="D313:D315"/>
    <mergeCell ref="E313:E315"/>
    <mergeCell ref="G337:G338"/>
    <mergeCell ref="G281:G282"/>
    <mergeCell ref="G62:G63"/>
    <mergeCell ref="G65:G66"/>
    <mergeCell ref="G68:G69"/>
    <mergeCell ref="G71:G72"/>
    <mergeCell ref="G74:G75"/>
    <mergeCell ref="G77:G78"/>
    <mergeCell ref="G80:G81"/>
    <mergeCell ref="G83:G84"/>
    <mergeCell ref="G89:G90"/>
    <mergeCell ref="G325:G326"/>
    <mergeCell ref="G328:G329"/>
    <mergeCell ref="G331:G332"/>
    <mergeCell ref="G334:G335"/>
    <mergeCell ref="G316:G317"/>
    <mergeCell ref="G319:G320"/>
    <mergeCell ref="G322:G323"/>
    <mergeCell ref="G310:G311"/>
    <mergeCell ref="G265:G266"/>
    <mergeCell ref="G268:G269"/>
    <mergeCell ref="G271:G272"/>
    <mergeCell ref="G274:G275"/>
    <mergeCell ref="G278:G279"/>
    <mergeCell ref="G284:G285"/>
    <mergeCell ref="G287:G288"/>
    <mergeCell ref="G290:G291"/>
    <mergeCell ref="G293:G294"/>
    <mergeCell ref="G296:G297"/>
    <mergeCell ref="G299:G300"/>
    <mergeCell ref="G307:G308"/>
    <mergeCell ref="G304:G305"/>
    <mergeCell ref="G107:G108"/>
    <mergeCell ref="G110:G111"/>
    <mergeCell ref="G118:G119"/>
    <mergeCell ref="G121:G122"/>
    <mergeCell ref="G236:G237"/>
    <mergeCell ref="G244:G245"/>
    <mergeCell ref="G247:G248"/>
    <mergeCell ref="G250:G251"/>
    <mergeCell ref="G205:G206"/>
    <mergeCell ref="G211:G212"/>
    <mergeCell ref="G215:G216"/>
    <mergeCell ref="G218:G219"/>
    <mergeCell ref="G221:G222"/>
    <mergeCell ref="G170:G171"/>
    <mergeCell ref="G173:G174"/>
    <mergeCell ref="G181:G182"/>
    <mergeCell ref="G224:G225"/>
    <mergeCell ref="G227:G228"/>
    <mergeCell ref="G230:G231"/>
    <mergeCell ref="G187:G188"/>
    <mergeCell ref="G190:G191"/>
    <mergeCell ref="G193:G194"/>
    <mergeCell ref="G196:G197"/>
    <mergeCell ref="G167:G168"/>
    <mergeCell ref="G47:G48"/>
    <mergeCell ref="G112:G113"/>
    <mergeCell ref="G175:G176"/>
    <mergeCell ref="G238:G239"/>
    <mergeCell ref="G301:G302"/>
  </mergeCells>
  <dataValidations count="4">
    <dataValidation type="decimal" allowBlank="1" showErrorMessage="1" errorTitle="Ошибка" error="Допускается ввод только действительных чисел!" sqref="K215 K218 K221 K224 K227 K230 K233 K236 K244 K247 K250 K253 K256 K259 K262 K265 K268 K271 K10 K89 K145 K142 K139 K136 K133 K130 K127 K124 K121 K118 K110 K107 K104 K101 K98 K95 K92 K152 K148 K155 K158 K161 K164 K167 K170 K173 K181 K184 K187 K190 K193 K199 K202 K205 K208 K211 K196 K274 K278 K281 K284 K287 K290 K293 K296 K299 K307 K310 K313 K316 K319 K322 K325 K328 K331 K334 K337 K5 K115 K178 K241 K304 K112 K175 K238 K301">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52:M153 M215:M216 M23 M89:M90 M278:M27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3:J53 I56:J56 I59:J59 I62:J62 I65:J65 I68:J68 I71:J71 I74:J74 I77:J77 I80:J80 I215:J215 I218:J218 I221:J221 I224:J224 I227:J227 I230:J230 I233:J233 I236:J236 I244:J244 I247:J247 I250:J250 I253:J253 I256:J256 I259:J259 I262:J262 I265:J265 I268:J268 I8:J8 I83:J83 I148:J148 I92:J92 I95:J95 I98:J98 I101:J101 I104:J104 I107:J107 I110:J110 I118:J118 I121:J121 I124:J124 I127:J127 I130:J130 I133:J133 I136:J136 I139:J139 I142:J142 I145:J145 I152:J152 I89:J89 I155:J155 I158:J158 I161:J161 I164:J164 I167:J167 I170:J170 I173:J173 I181:J181 I184:J184 I187:J187 I190:J190 I193:J193 I199:J199 I202:J202 I205:J205 I208:J208 I211:J211 I196:J196 I271:J271 I274:J274 I278:J278 I281:J281 I284:J284 I287:J287 I290:J290 I293:J293 I296:J296 I299:J299 I307:J307 I310:J310 I313:J313 I316:J316 I319:J319 I322:J322 I325:J325 I328:J328 I331:J331 I334:J334 I337:J337 I2:J2 I5:J5 I50:J50 I115:J115 I178:J178 I241:J241 I304:J304 I47 J47 I112 J112 I175 J175 I238 J238 I301 J30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20ABD8-2B48-BB28-807F-BFB9916574A8}"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108</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6"/>
      <c r="F5" s="2456"/>
      <c r="G5" s="2457"/>
      <c r="H5" s="267"/>
      <c r="R5" s="375">
        <v>33</v>
      </c>
    </row>
    <row s="1636" customFormat="1" customHeight="1" ht="18">
      <c r="A6" s="1670"/>
      <c r="B6" s="1161"/>
      <c r="C6" s="377"/>
      <c r="D6" s="2458" t="str">
        <f>IF(org=0,"Не определено",org)</f>
        <v>КГУП "Примтеплоэнерго"</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333</v>
      </c>
      <c r="E8" s="2210"/>
      <c r="F8" s="2210"/>
      <c r="G8" s="2210"/>
      <c r="H8" s="2390" t="s">
        <v>334</v>
      </c>
      <c r="R8" s="375">
        <v>14</v>
      </c>
    </row>
    <row customHeight="1" ht="24">
      <c r="C9" s="377"/>
      <c r="D9" s="387" t="s">
        <v>91</v>
      </c>
      <c r="E9" s="109" t="s">
        <v>335</v>
      </c>
      <c r="F9" s="109" t="s">
        <v>336</v>
      </c>
      <c r="G9" s="109" t="s">
        <v>423</v>
      </c>
      <c r="H9" s="2390"/>
      <c r="R9" s="375">
        <v>23</v>
      </c>
    </row>
    <row customHeight="1" ht="14.699999999999998">
      <c r="A10" s="344"/>
      <c r="C10" s="377"/>
      <c r="D10" s="148" t="s">
        <v>124</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8"/>
      <c r="G10" s="214"/>
      <c r="H10" s="2170" t="s">
        <v>1193</v>
      </c>
      <c r="R10" s="375">
        <v>14</v>
      </c>
    </row>
    <row customHeight="1" ht="14.699999999999998">
      <c r="A11" s="344"/>
      <c r="C11" s="377"/>
      <c r="D11" s="148" t="s">
        <v>107</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8"/>
      <c r="G11" s="214"/>
      <c r="H11" s="2171"/>
      <c r="R11" s="375">
        <v>14</v>
      </c>
    </row>
    <row customHeight="1" ht="14.699999999999998">
      <c r="A12" s="103"/>
      <c r="C12" s="388"/>
      <c r="D12" s="148" t="s">
        <v>93</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1"/>
      <c r="K12" s="375"/>
      <c r="R12" s="375">
        <v>14</v>
      </c>
    </row>
    <row customHeight="1" ht="14.699999999999998">
      <c r="A13" s="103"/>
      <c r="C13" s="388"/>
      <c r="D13" s="148" t="s">
        <v>94</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355</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85</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546333-4BF8-F2B8-9278-3653C0A55BF5}"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1194</v>
      </c>
      <c r="E5" s="2238"/>
      <c r="F5" s="2238"/>
      <c r="G5" s="2238"/>
      <c r="H5" s="2238"/>
      <c r="I5" s="2238"/>
      <c r="J5" s="2238"/>
      <c r="V5" s="506">
        <v>63</v>
      </c>
    </row>
    <row customHeight="1" ht="15.75">
      <c r="C6" s="177"/>
      <c r="D6" s="2177" t="str">
        <f>IF(org=0,"Не определено",org)</f>
        <v>КГУП "Примтеплоэнерго"</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131</v>
      </c>
      <c r="J8" s="753"/>
      <c r="K8" s="418"/>
      <c r="U8" s="676"/>
      <c r="V8" s="759">
        <v>1</v>
      </c>
    </row>
    <row customHeight="1" ht="15.75">
      <c r="C9" s="177"/>
      <c r="D9" s="712"/>
      <c r="E9" s="2368" t="s">
        <v>120</v>
      </c>
      <c r="F9" s="2369"/>
      <c r="G9" s="2396" t="str">
        <f>IF(G8="","",INDEX(DIFFERENTIATION_UNMERGE_VD,MATCH(G8,DIFFERENTIATION_ID_DIFF,0)))</f>
        <v/>
      </c>
      <c r="H9" s="2397"/>
      <c r="I9" s="2396">
        <f>IF(I8="","",INDEX(DIFFERENTIATION_UNMERGE_VD,MATCH(I8,DIFFERENTIATION_ID_DIFF,0)))</f>
        <v>0</v>
      </c>
      <c r="J9" s="2397"/>
      <c r="K9" s="2176" t="s">
        <v>334</v>
      </c>
      <c r="V9" s="506">
        <v>15</v>
      </c>
    </row>
    <row s="1636" customFormat="1" customHeight="1" ht="15.75">
      <c r="A10" s="760"/>
      <c r="C10" s="177"/>
      <c r="D10" s="712"/>
      <c r="E10" s="2368" t="s">
        <v>597</v>
      </c>
      <c r="F10" s="2369"/>
      <c r="G10" s="2396" t="str">
        <f>IF(G8="","",INDEX(DIFFERENTIATION_UNMERGE_AREA,MATCH(G8,DIFFERENTIATION_ID_DIFF,0)))</f>
        <v/>
      </c>
      <c r="H10" s="2397"/>
      <c r="I10" s="2396" t="str">
        <f>IF(I8="","",INDEX(DIFFERENTIATION_UNMERGE_AREA,MATCH(I8,DIFFERENTIATION_ID_DIFF,0)))</f>
        <v/>
      </c>
      <c r="J10" s="2397"/>
      <c r="K10" s="2200"/>
      <c r="U10" s="676"/>
      <c r="V10" s="759">
        <v>15</v>
      </c>
    </row>
    <row s="1636" customFormat="1" customHeight="1" ht="15.75">
      <c r="A11" s="760"/>
      <c r="C11" s="177"/>
      <c r="D11" s="712"/>
      <c r="E11" s="2368" t="s">
        <v>598</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333</v>
      </c>
      <c r="E12" s="2371"/>
      <c r="F12" s="2371"/>
      <c r="G12" s="888"/>
      <c r="H12" s="888"/>
      <c r="I12" s="888"/>
      <c r="J12" s="888"/>
      <c r="K12" s="2200"/>
      <c r="U12" s="676"/>
      <c r="V12" s="759">
        <v>15</v>
      </c>
    </row>
    <row customHeight="1" ht="35.699999999999996">
      <c r="C13" s="177"/>
      <c r="D13" s="806" t="s">
        <v>91</v>
      </c>
      <c r="E13" s="808" t="s">
        <v>335</v>
      </c>
      <c r="F13" s="808" t="s">
        <v>599</v>
      </c>
      <c r="G13" s="809" t="s">
        <v>336</v>
      </c>
      <c r="H13" s="808" t="s">
        <v>423</v>
      </c>
      <c r="I13" s="809" t="s">
        <v>336</v>
      </c>
      <c r="J13" s="808" t="s">
        <v>423</v>
      </c>
      <c r="K13" s="2233"/>
      <c r="V13" s="506">
        <v>34</v>
      </c>
    </row>
    <row customHeight="1" ht="15" hidden="1">
      <c r="C14" s="177"/>
      <c r="D14" s="594" t="s">
        <v>124</v>
      </c>
      <c r="E14" s="594" t="s">
        <v>107</v>
      </c>
      <c r="F14" s="594" t="s">
        <v>93</v>
      </c>
      <c r="G14" s="660" t="str">
        <f>G1&amp;".1"</f>
        <v>4.1</v>
      </c>
      <c r="H14" s="660"/>
      <c r="I14" s="660" t="str">
        <f>I1&amp;".1"</f>
        <v>4.1</v>
      </c>
      <c r="J14" s="660"/>
      <c r="K14" s="290"/>
      <c r="V14" s="506">
        <v>0</v>
      </c>
    </row>
    <row customHeight="1" ht="22.5" hidden="1">
      <c r="A15" s="506"/>
      <c r="C15" s="527"/>
      <c r="D15" s="522">
        <v>1</v>
      </c>
      <c r="E15" s="678" t="s">
        <v>841</v>
      </c>
      <c r="F15" s="522" t="s">
        <v>842</v>
      </c>
      <c r="G15" s="679"/>
      <c r="H15" s="679"/>
      <c r="I15" s="679"/>
      <c r="J15" s="679"/>
      <c r="K15" s="290" t="s">
        <v>843</v>
      </c>
      <c r="V15" s="506">
        <v>0</v>
      </c>
    </row>
    <row customHeight="1" ht="22.5" hidden="1">
      <c r="A16" s="506"/>
      <c r="C16" s="527"/>
      <c r="D16" s="522">
        <v>2</v>
      </c>
      <c r="E16" s="280" t="s">
        <v>844</v>
      </c>
      <c r="F16" s="522" t="s">
        <v>845</v>
      </c>
      <c r="G16" s="679"/>
      <c r="H16" s="679"/>
      <c r="I16" s="679"/>
      <c r="J16" s="679"/>
      <c r="K16" s="290" t="s">
        <v>846</v>
      </c>
      <c r="V16" s="506">
        <v>0</v>
      </c>
    </row>
    <row customHeight="1" ht="123.75" hidden="1">
      <c r="A17" s="506"/>
      <c r="C17" s="527"/>
      <c r="D17" s="522">
        <v>3</v>
      </c>
      <c r="E17" s="280" t="s">
        <v>1195</v>
      </c>
      <c r="F17" s="522" t="s">
        <v>339</v>
      </c>
      <c r="G17" s="679"/>
      <c r="H17" s="679"/>
      <c r="I17" s="679"/>
      <c r="J17" s="679"/>
      <c r="K17" s="290" t="s">
        <v>1196</v>
      </c>
      <c r="V17" s="506">
        <v>0</v>
      </c>
    </row>
    <row customHeight="1" ht="48.29999999999999">
      <c r="A18" s="506"/>
      <c r="C18" s="527"/>
      <c r="D18" s="522">
        <v>3</v>
      </c>
      <c r="E18" s="280" t="s">
        <v>847</v>
      </c>
      <c r="F18" s="522" t="s">
        <v>339</v>
      </c>
      <c r="G18" s="810" t="s">
        <v>339</v>
      </c>
      <c r="H18" s="811" t="s">
        <v>339</v>
      </c>
      <c r="I18" s="522" t="s">
        <v>339</v>
      </c>
      <c r="J18" s="579" t="s">
        <v>339</v>
      </c>
      <c r="K18" s="290" t="s">
        <v>1197</v>
      </c>
      <c r="V18" s="506">
        <v>46</v>
      </c>
    </row>
    <row customHeight="1" ht="35.699999999999996">
      <c r="A19" s="506"/>
      <c r="C19" s="527"/>
      <c r="D19" s="540" t="s">
        <v>357</v>
      </c>
      <c r="E19" s="560" t="s">
        <v>849</v>
      </c>
      <c r="F19" s="522" t="s">
        <v>850</v>
      </c>
      <c r="G19" s="818"/>
      <c r="H19" s="107"/>
      <c r="I19" s="818"/>
      <c r="J19" s="819"/>
      <c r="K19" s="680"/>
      <c r="V19" s="506">
        <v>34</v>
      </c>
    </row>
    <row customHeight="1" ht="35.699999999999996">
      <c r="A20" s="506"/>
      <c r="C20" s="527"/>
      <c r="D20" s="1891" t="s">
        <v>365</v>
      </c>
      <c r="E20" s="560" t="s">
        <v>851</v>
      </c>
      <c r="F20" s="522" t="s">
        <v>852</v>
      </c>
      <c r="G20" s="818"/>
      <c r="H20" s="107"/>
      <c r="I20" s="818"/>
      <c r="J20" s="107"/>
      <c r="K20" s="680"/>
      <c r="V20" s="506">
        <v>34</v>
      </c>
    </row>
    <row customHeight="1" ht="48.29999999999999">
      <c r="A21" s="506"/>
      <c r="C21" s="527"/>
      <c r="D21" s="1891" t="s">
        <v>367</v>
      </c>
      <c r="E21" s="560" t="s">
        <v>853</v>
      </c>
      <c r="F21" s="522" t="s">
        <v>604</v>
      </c>
      <c r="G21" s="681"/>
      <c r="H21" s="107"/>
      <c r="I21" s="681"/>
      <c r="J21" s="107"/>
      <c r="K21" s="680"/>
      <c r="V21" s="506">
        <v>46</v>
      </c>
    </row>
    <row customHeight="1" ht="67.5" hidden="1">
      <c r="A22" s="506"/>
      <c r="C22" s="527"/>
      <c r="D22" s="522">
        <v>5</v>
      </c>
      <c r="E22" s="280" t="s">
        <v>1198</v>
      </c>
      <c r="F22" s="522" t="s">
        <v>591</v>
      </c>
      <c r="G22" s="682"/>
      <c r="H22" s="683"/>
      <c r="I22" s="682"/>
      <c r="J22" s="683"/>
      <c r="K22" s="290" t="s">
        <v>1199</v>
      </c>
      <c r="V22" s="506">
        <v>0</v>
      </c>
    </row>
    <row customHeight="1" ht="33.75" hidden="1">
      <c r="C23" s="452"/>
      <c r="D23" s="522">
        <v>6</v>
      </c>
      <c r="E23" s="280" t="s">
        <v>1200</v>
      </c>
      <c r="F23" s="522" t="s">
        <v>1201</v>
      </c>
      <c r="G23" s="682"/>
      <c r="H23" s="682"/>
      <c r="I23" s="682"/>
      <c r="J23" s="682"/>
      <c r="K23" s="290" t="s">
        <v>1202</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85</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8A75FBA-5D5B-ECE8-0268-F576A7EDA99A}"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1203</v>
      </c>
      <c r="B1" s="1068" t="s">
        <v>1204</v>
      </c>
      <c r="C1" s="1068" t="s">
        <v>1205</v>
      </c>
      <c r="D1" s="1068" t="s">
        <v>1206</v>
      </c>
      <c r="E1" s="1068" t="s">
        <v>1207</v>
      </c>
      <c r="F1" s="1068" t="s">
        <v>1208</v>
      </c>
      <c r="G1" s="1068" t="s">
        <v>1209</v>
      </c>
      <c r="H1" s="1068" t="s">
        <v>1210</v>
      </c>
      <c r="I1" s="1068" t="s">
        <v>1211</v>
      </c>
      <c r="J1" s="1068" t="s">
        <v>1212</v>
      </c>
      <c r="K1" s="1068" t="s">
        <v>1213</v>
      </c>
      <c r="L1" s="1068" t="s">
        <v>1214</v>
      </c>
      <c r="M1" s="1068"/>
      <c r="N1" s="1068" t="s">
        <v>1215</v>
      </c>
      <c r="O1" s="1068" t="s">
        <v>1216</v>
      </c>
      <c r="P1" s="1068" t="s">
        <v>1217</v>
      </c>
      <c r="Q1" s="1068" t="s">
        <v>1218</v>
      </c>
      <c r="R1" s="1068" t="s">
        <v>1219</v>
      </c>
      <c r="S1" s="1068" t="s">
        <v>1220</v>
      </c>
      <c r="T1" s="1068" t="s">
        <v>1221</v>
      </c>
      <c r="U1" s="1068" t="s">
        <v>1222</v>
      </c>
      <c r="V1" s="1068"/>
      <c r="W1" s="798" t="s">
        <v>1223</v>
      </c>
      <c r="X1" s="1068" t="s">
        <v>1224</v>
      </c>
      <c r="Y1" s="1068" t="s">
        <v>1225</v>
      </c>
      <c r="Z1" s="1068"/>
      <c r="AA1" s="1068" t="s">
        <v>1226</v>
      </c>
      <c r="AB1" s="1068"/>
      <c r="AC1" s="1068" t="s">
        <v>1227</v>
      </c>
      <c r="AD1" s="1068"/>
      <c r="AF1" s="1068" t="s">
        <v>1228</v>
      </c>
      <c r="AH1" s="1068" t="s">
        <v>1229</v>
      </c>
      <c r="AI1" s="1068" t="s">
        <v>1230</v>
      </c>
      <c r="AK1" s="1068" t="s">
        <v>1231</v>
      </c>
      <c r="AM1" s="1068" t="s">
        <v>1232</v>
      </c>
      <c r="AP1" s="1068" t="s">
        <v>1233</v>
      </c>
      <c r="AQ1" s="1068" t="s">
        <v>1234</v>
      </c>
      <c r="AS1" s="1068" t="s">
        <v>1235</v>
      </c>
      <c r="AU1" s="1068" t="s">
        <v>1236</v>
      </c>
      <c r="AW1" s="1068" t="s">
        <v>1237</v>
      </c>
      <c r="AX1" s="1068" t="s">
        <v>1238</v>
      </c>
      <c r="AZ1" s="1153" t="s">
        <v>1239</v>
      </c>
      <c r="BB1" s="1068" t="s">
        <v>1240</v>
      </c>
      <c r="BC1" s="1068"/>
      <c r="BE1" s="1068" t="s">
        <v>1241</v>
      </c>
      <c r="BF1" s="1068" t="s">
        <v>1242</v>
      </c>
      <c r="BH1" s="1070" t="s">
        <v>840</v>
      </c>
      <c r="BI1" s="1071"/>
      <c r="BJ1" s="1072" t="s">
        <v>1243</v>
      </c>
      <c r="BK1" s="1071"/>
      <c r="BL1" s="1073" t="s">
        <v>939</v>
      </c>
      <c r="BM1" s="1071"/>
      <c r="BN1" s="1074" t="s">
        <v>1244</v>
      </c>
      <c r="BS1" s="1428"/>
    </row>
    <row customHeight="1" ht="11.25">
      <c r="A2" s="1075" t="s">
        <v>1245</v>
      </c>
      <c r="B2" s="1076">
        <v>2000</v>
      </c>
      <c r="C2" s="1076">
        <v>2022</v>
      </c>
      <c r="D2" s="1076" t="s">
        <v>64</v>
      </c>
      <c r="E2" s="1077" t="s">
        <v>1246</v>
      </c>
      <c r="F2" s="1077" t="s">
        <v>1247</v>
      </c>
      <c r="G2" s="1077" t="s">
        <v>1248</v>
      </c>
      <c r="H2" s="1078" t="s">
        <v>58</v>
      </c>
      <c r="I2" s="1077" t="s">
        <v>124</v>
      </c>
      <c r="J2" s="1077" t="s">
        <v>1249</v>
      </c>
      <c r="K2" s="1079" t="s">
        <v>1250</v>
      </c>
      <c r="L2" s="1080"/>
      <c r="M2" s="1079">
        <v>1</v>
      </c>
      <c r="N2" s="1163" t="s">
        <v>1251</v>
      </c>
      <c r="O2" s="1078" t="s">
        <v>1252</v>
      </c>
      <c r="P2" s="1081" t="s">
        <v>1253</v>
      </c>
      <c r="Q2" s="1082" t="s">
        <v>1254</v>
      </c>
      <c r="R2" s="144" t="s">
        <v>1255</v>
      </c>
      <c r="S2" s="144" t="s">
        <v>1256</v>
      </c>
      <c r="T2" s="1083" t="s">
        <v>513</v>
      </c>
      <c r="U2" s="1080" t="s">
        <v>1257</v>
      </c>
      <c r="V2" s="1084">
        <v>1</v>
      </c>
      <c r="W2" s="1085"/>
      <c r="X2" s="1085" t="s">
        <v>1258</v>
      </c>
      <c r="Y2" s="1076" t="s">
        <v>1259</v>
      </c>
      <c r="Z2" s="1086"/>
      <c r="AA2" s="1076" t="s">
        <v>1260</v>
      </c>
      <c r="AB2" s="1087" t="s">
        <v>1260</v>
      </c>
      <c r="AC2" s="1076" t="s">
        <v>1261</v>
      </c>
      <c r="AD2" s="1087" t="s">
        <v>1261</v>
      </c>
      <c r="AF2" s="1078" t="s">
        <v>1257</v>
      </c>
      <c r="AH2" s="1077" t="s">
        <v>1262</v>
      </c>
      <c r="AI2" s="1077" t="s">
        <v>1262</v>
      </c>
      <c r="AK2" s="1077" t="s">
        <v>1263</v>
      </c>
      <c r="AM2" s="1077" t="s">
        <v>1264</v>
      </c>
      <c r="AP2" s="1088" t="s">
        <v>1258</v>
      </c>
      <c r="AQ2" s="1089" t="s">
        <v>1258</v>
      </c>
      <c r="AS2" s="1076" t="s">
        <v>1265</v>
      </c>
      <c r="AU2" s="1121" t="s">
        <v>1266</v>
      </c>
      <c r="AW2" s="1121" t="s">
        <v>1267</v>
      </c>
      <c r="AX2" s="1121" t="s">
        <v>1267</v>
      </c>
      <c r="AZ2" s="1121" t="s">
        <v>56</v>
      </c>
      <c r="BB2" s="1121" t="s">
        <v>1268</v>
      </c>
      <c r="BC2" s="1121" t="s">
        <v>1269</v>
      </c>
      <c r="BE2" s="1121">
        <v>2000</v>
      </c>
      <c r="BF2" s="1121" t="s">
        <v>1270</v>
      </c>
    </row>
    <row customHeight="1" ht="11.25">
      <c r="A3" s="1075" t="s">
        <v>1271</v>
      </c>
      <c r="B3" s="1076">
        <v>2001</v>
      </c>
      <c r="C3" s="1076">
        <v>2023</v>
      </c>
      <c r="D3" s="1076" t="s">
        <v>19</v>
      </c>
      <c r="E3" s="1077" t="s">
        <v>1272</v>
      </c>
      <c r="F3" s="1077" t="s">
        <v>1273</v>
      </c>
      <c r="G3" s="1077" t="s">
        <v>1274</v>
      </c>
      <c r="H3" s="1078" t="s">
        <v>1275</v>
      </c>
      <c r="I3" s="1077" t="s">
        <v>107</v>
      </c>
      <c r="J3" s="1077" t="s">
        <v>589</v>
      </c>
      <c r="K3" s="1079" t="s">
        <v>1276</v>
      </c>
      <c r="L3" s="1080">
        <f>_xlfn.IFERROR(MATCH(K3,OFFER_METHOD,0),0)</f>
        <v>0</v>
      </c>
      <c r="M3" s="1079">
        <v>2</v>
      </c>
      <c r="N3" s="1163" t="s">
        <v>1277</v>
      </c>
      <c r="O3" s="1078" t="s">
        <v>1278</v>
      </c>
      <c r="P3" s="1081" t="s">
        <v>37</v>
      </c>
      <c r="Q3" s="1082" t="s">
        <v>1279</v>
      </c>
      <c r="R3" s="144" t="s">
        <v>1280</v>
      </c>
      <c r="S3" s="144" t="s">
        <v>1281</v>
      </c>
      <c r="T3" s="1083" t="s">
        <v>1282</v>
      </c>
      <c r="U3" s="1080" t="s">
        <v>1283</v>
      </c>
      <c r="V3" s="1084">
        <v>2</v>
      </c>
      <c r="W3" s="1085"/>
      <c r="X3" s="1085" t="s">
        <v>1284</v>
      </c>
      <c r="Y3" s="1076" t="s">
        <v>1259</v>
      </c>
      <c r="Z3" s="1086"/>
      <c r="AA3" s="1076" t="s">
        <v>1285</v>
      </c>
      <c r="AB3" s="1087" t="s">
        <v>1285</v>
      </c>
      <c r="AC3" s="1076" t="s">
        <v>1286</v>
      </c>
      <c r="AD3" s="1087" t="s">
        <v>1286</v>
      </c>
      <c r="AF3" s="1078" t="s">
        <v>1283</v>
      </c>
      <c r="AH3" s="1077" t="s">
        <v>1287</v>
      </c>
      <c r="AI3" s="1077" t="s">
        <v>1288</v>
      </c>
      <c r="AK3" s="1077" t="s">
        <v>1289</v>
      </c>
      <c r="AM3" s="1077" t="s">
        <v>1290</v>
      </c>
      <c r="AP3" s="1088" t="s">
        <v>1291</v>
      </c>
      <c r="AQ3" s="1089" t="s">
        <v>1291</v>
      </c>
      <c r="AS3" s="1076" t="s">
        <v>1292</v>
      </c>
      <c r="AU3" s="1121" t="s">
        <v>1293</v>
      </c>
      <c r="AW3" s="1121" t="s">
        <v>1294</v>
      </c>
      <c r="AX3" s="1121" t="s">
        <v>1294</v>
      </c>
      <c r="AZ3" s="1121" t="s">
        <v>1295</v>
      </c>
      <c r="BB3" s="1121" t="s">
        <v>1296</v>
      </c>
      <c r="BC3" s="1121" t="s">
        <v>1269</v>
      </c>
      <c r="BE3" s="1121">
        <v>2001</v>
      </c>
      <c r="BF3" s="1121" t="s">
        <v>1297</v>
      </c>
      <c r="BH3" s="1068" t="s">
        <v>1298</v>
      </c>
      <c r="BJ3" s="1068" t="s">
        <v>1299</v>
      </c>
      <c r="BL3" s="1068" t="s">
        <v>1300</v>
      </c>
      <c r="BN3" s="1068" t="s">
        <v>1301</v>
      </c>
      <c r="BR3" s="1068" t="s">
        <v>1302</v>
      </c>
      <c r="BS3" s="1429"/>
      <c r="BT3" s="1071"/>
      <c r="BU3" s="1068" t="s">
        <v>1303</v>
      </c>
      <c r="BV3" s="1071"/>
      <c r="BW3" s="1691"/>
      <c r="BX3" s="1693" t="s">
        <v>1304</v>
      </c>
      <c r="CA3" s="1068" t="s">
        <v>1305</v>
      </c>
    </row>
    <row customHeight="1" ht="11.25">
      <c r="A4" s="1075" t="s">
        <v>1306</v>
      </c>
      <c r="B4" s="1076">
        <v>2002</v>
      </c>
      <c r="C4" s="1076">
        <v>2024</v>
      </c>
      <c r="E4" s="1077" t="s">
        <v>1307</v>
      </c>
      <c r="F4" s="1077" t="s">
        <v>1308</v>
      </c>
      <c r="H4" s="1078" t="s">
        <v>1309</v>
      </c>
      <c r="I4" s="1077" t="s">
        <v>93</v>
      </c>
      <c r="J4" s="1077" t="s">
        <v>1310</v>
      </c>
      <c r="K4" s="1079" t="s">
        <v>1311</v>
      </c>
      <c r="L4" s="1080">
        <f>_xlfn.IFERROR(MATCH(K4,OFFER_METHOD,0),0)</f>
        <v>0</v>
      </c>
      <c r="M4" s="1079">
        <v>3</v>
      </c>
      <c r="N4" s="1163" t="s">
        <v>1312</v>
      </c>
      <c r="O4" s="1077" t="s">
        <v>1313</v>
      </c>
      <c r="Q4" s="1082" t="s">
        <v>1314</v>
      </c>
      <c r="R4" s="144" t="s">
        <v>1315</v>
      </c>
      <c r="S4" s="144" t="s">
        <v>512</v>
      </c>
      <c r="T4" s="1083" t="s">
        <v>1316</v>
      </c>
      <c r="U4" s="1080" t="s">
        <v>1317</v>
      </c>
      <c r="V4" s="1084">
        <v>3</v>
      </c>
      <c r="W4" s="1085"/>
      <c r="X4" s="1085" t="s">
        <v>1318</v>
      </c>
      <c r="Y4" s="1076" t="s">
        <v>1259</v>
      </c>
      <c r="Z4" s="1092"/>
      <c r="AC4" s="1076" t="s">
        <v>1319</v>
      </c>
      <c r="AD4" s="1087" t="s">
        <v>1319</v>
      </c>
      <c r="AF4" s="1078" t="s">
        <v>1317</v>
      </c>
      <c r="AH4" s="1078" t="s">
        <v>1320</v>
      </c>
      <c r="AK4" s="1077" t="s">
        <v>1321</v>
      </c>
      <c r="AM4" s="1077" t="s">
        <v>1322</v>
      </c>
      <c r="AP4" s="1088" t="s">
        <v>1284</v>
      </c>
      <c r="AQ4" s="1089" t="s">
        <v>1284</v>
      </c>
      <c r="AS4" s="1076" t="s">
        <v>1323</v>
      </c>
      <c r="AU4" s="1121" t="s">
        <v>1324</v>
      </c>
      <c r="AW4" s="1121" t="s">
        <v>1325</v>
      </c>
      <c r="AX4" s="1121" t="s">
        <v>1325</v>
      </c>
      <c r="AZ4" s="1121" t="s">
        <v>1326</v>
      </c>
      <c r="BB4" s="1121" t="s">
        <v>1327</v>
      </c>
      <c r="BC4" s="1121" t="s">
        <v>1328</v>
      </c>
      <c r="BE4" s="1121">
        <v>2002</v>
      </c>
      <c r="BF4" s="1121" t="s">
        <v>1329</v>
      </c>
      <c r="BH4" s="1069" t="s">
        <v>1330</v>
      </c>
      <c r="BJ4" s="1069" t="s">
        <v>1330</v>
      </c>
      <c r="BL4" s="1069" t="s">
        <v>1330</v>
      </c>
      <c r="BN4" s="1069" t="s">
        <v>1330</v>
      </c>
      <c r="BQ4" s="1433" t="s">
        <v>1331</v>
      </c>
      <c r="BR4" s="1160" t="s">
        <v>1332</v>
      </c>
      <c r="BS4" s="275"/>
      <c r="BT4" s="1433" t="s">
        <v>1333</v>
      </c>
      <c r="BU4" s="1160" t="s">
        <v>1334</v>
      </c>
      <c r="BV4" s="1071"/>
      <c r="BW4" s="1698" t="s">
        <v>1335</v>
      </c>
      <c r="BX4" s="1692" t="s">
        <v>1336</v>
      </c>
      <c r="BZ4" s="1433" t="s">
        <v>1337</v>
      </c>
      <c r="CA4" s="1160" t="s">
        <v>1338</v>
      </c>
    </row>
    <row customHeight="1" ht="11.25">
      <c r="A5" s="1075" t="s">
        <v>1339</v>
      </c>
      <c r="B5" s="1076">
        <v>2003</v>
      </c>
      <c r="C5" s="1076">
        <v>2025</v>
      </c>
      <c r="E5" s="1077" t="s">
        <v>1340</v>
      </c>
      <c r="F5" s="1077" t="s">
        <v>1341</v>
      </c>
      <c r="H5" s="1078" t="s">
        <v>1342</v>
      </c>
      <c r="I5" s="1077" t="s">
        <v>94</v>
      </c>
      <c r="K5" s="1079" t="s">
        <v>1343</v>
      </c>
      <c r="L5" s="1080">
        <f>_xlfn.IFERROR(MATCH(K5,OFFER_METHOD,0),0)</f>
        <v>0</v>
      </c>
      <c r="M5" s="1079">
        <v>4</v>
      </c>
      <c r="N5" s="1093" t="s">
        <v>1344</v>
      </c>
      <c r="O5" s="1077" t="s">
        <v>1345</v>
      </c>
      <c r="Q5" s="1082" t="s">
        <v>1346</v>
      </c>
      <c r="R5" s="144" t="s">
        <v>1347</v>
      </c>
      <c r="T5" s="1078" t="s">
        <v>1348</v>
      </c>
      <c r="U5" s="1080" t="s">
        <v>1349</v>
      </c>
      <c r="V5" s="1084">
        <v>4</v>
      </c>
      <c r="W5" s="1085"/>
      <c r="X5" s="1085" t="s">
        <v>180</v>
      </c>
      <c r="Y5" s="1076" t="s">
        <v>1350</v>
      </c>
      <c r="Z5" s="1092">
        <v>1</v>
      </c>
      <c r="AF5" s="1078" t="s">
        <v>1351</v>
      </c>
      <c r="AH5" s="1077" t="s">
        <v>1352</v>
      </c>
      <c r="AK5" s="1077" t="s">
        <v>1353</v>
      </c>
      <c r="AM5" s="1077" t="s">
        <v>1354</v>
      </c>
      <c r="AP5" s="1088" t="s">
        <v>180</v>
      </c>
      <c r="AQ5" s="1089" t="s">
        <v>180</v>
      </c>
      <c r="AU5" s="1121" t="s">
        <v>1355</v>
      </c>
      <c r="AW5" s="1121" t="s">
        <v>1356</v>
      </c>
      <c r="AX5" s="1121" t="s">
        <v>1356</v>
      </c>
      <c r="AZ5" s="1121" t="s">
        <v>1357</v>
      </c>
      <c r="BB5" s="1121" t="s">
        <v>1358</v>
      </c>
      <c r="BC5" s="1121" t="s">
        <v>1359</v>
      </c>
      <c r="BE5" s="1121">
        <v>2003</v>
      </c>
      <c r="BF5" s="1121" t="s">
        <v>1360</v>
      </c>
      <c r="BH5" s="1069" t="s">
        <v>1361</v>
      </c>
      <c r="BJ5" s="1069" t="s">
        <v>1361</v>
      </c>
      <c r="BL5" s="1069" t="s">
        <v>1361</v>
      </c>
      <c r="BN5" s="1069" t="s">
        <v>1362</v>
      </c>
      <c r="BQ5" s="1282">
        <v>4213775</v>
      </c>
      <c r="BR5" s="1069" t="s">
        <v>1258</v>
      </c>
      <c r="BS5" s="1430"/>
      <c r="BT5" s="1282">
        <v>64236871</v>
      </c>
      <c r="BU5" s="1069" t="s">
        <v>262</v>
      </c>
      <c r="BV5" s="1071"/>
      <c r="BW5" s="1696">
        <v>4213767</v>
      </c>
      <c r="BX5" s="1694" t="s">
        <v>1363</v>
      </c>
      <c r="BZ5" s="1282">
        <v>64237509</v>
      </c>
      <c r="CA5" s="1296" t="s">
        <v>1364</v>
      </c>
    </row>
    <row customHeight="1" ht="11.25">
      <c r="A6" s="1075" t="s">
        <v>1365</v>
      </c>
      <c r="B6" s="1076">
        <v>2004</v>
      </c>
      <c r="C6" s="1076">
        <v>2026</v>
      </c>
      <c r="E6" s="1077" t="s">
        <v>1366</v>
      </c>
      <c r="F6" s="1094"/>
      <c r="H6" s="1078" t="s">
        <v>1367</v>
      </c>
      <c r="I6" s="1077" t="s">
        <v>125</v>
      </c>
      <c r="J6" s="1068" t="s">
        <v>1368</v>
      </c>
      <c r="L6" s="1080">
        <f>SUM(kind_of_control_method_filter)</f>
        <v>0</v>
      </c>
      <c r="N6" s="1093" t="s">
        <v>1369</v>
      </c>
      <c r="O6" s="1077" t="s">
        <v>1370</v>
      </c>
      <c r="R6" s="144" t="s">
        <v>1254</v>
      </c>
      <c r="T6" s="1078" t="s">
        <v>1371</v>
      </c>
      <c r="U6" s="1080" t="s">
        <v>1351</v>
      </c>
      <c r="V6" s="1084">
        <v>5</v>
      </c>
      <c r="W6" s="1085"/>
      <c r="X6" s="1076" t="s">
        <v>186</v>
      </c>
      <c r="Y6" s="1076" t="s">
        <v>1372</v>
      </c>
      <c r="Z6" s="1092"/>
      <c r="AA6" s="1095"/>
      <c r="AH6" s="1077" t="s">
        <v>1373</v>
      </c>
      <c r="AK6" s="1077" t="s">
        <v>1374</v>
      </c>
      <c r="AM6" s="1077" t="s">
        <v>1375</v>
      </c>
      <c r="AP6" s="1088" t="s">
        <v>186</v>
      </c>
      <c r="AQ6" s="1089" t="s">
        <v>186</v>
      </c>
      <c r="AU6" s="1121" t="s">
        <v>1376</v>
      </c>
      <c r="AW6" s="1121" t="s">
        <v>1377</v>
      </c>
      <c r="AX6" s="1121" t="s">
        <v>1377</v>
      </c>
      <c r="BB6" s="1121" t="s">
        <v>1378</v>
      </c>
      <c r="BC6" s="1121" t="s">
        <v>1359</v>
      </c>
      <c r="BE6" s="1121">
        <v>2004</v>
      </c>
      <c r="BF6" s="1121" t="s">
        <v>1379</v>
      </c>
      <c r="BH6" s="1069" t="s">
        <v>1380</v>
      </c>
      <c r="BJ6" s="1069" t="s">
        <v>1381</v>
      </c>
      <c r="BL6" s="1069" t="s">
        <v>1381</v>
      </c>
      <c r="BN6" s="1069" t="s">
        <v>1382</v>
      </c>
      <c r="BQ6" s="1282">
        <v>4213784</v>
      </c>
      <c r="BR6" s="1296" t="s">
        <v>1291</v>
      </c>
      <c r="BS6" s="1431"/>
      <c r="BT6" s="1282">
        <v>64236872</v>
      </c>
      <c r="BU6" s="1069" t="s">
        <v>267</v>
      </c>
      <c r="BV6" s="1071"/>
      <c r="BW6" s="1696">
        <v>4213768</v>
      </c>
      <c r="BX6" s="1694" t="s">
        <v>287</v>
      </c>
      <c r="BZ6" s="1282">
        <v>64237510</v>
      </c>
      <c r="CA6" s="1069" t="s">
        <v>1383</v>
      </c>
    </row>
    <row customHeight="1" ht="11.25">
      <c r="A7" s="1075" t="s">
        <v>1384</v>
      </c>
      <c r="B7" s="1076">
        <v>2005</v>
      </c>
      <c r="E7" s="1077" t="s">
        <v>1385</v>
      </c>
      <c r="F7" s="1094"/>
      <c r="H7" s="1078" t="s">
        <v>1386</v>
      </c>
      <c r="I7" s="1077" t="s">
        <v>95</v>
      </c>
      <c r="J7" s="1077" t="s">
        <v>1387</v>
      </c>
      <c r="N7" s="1097" t="s">
        <v>1388</v>
      </c>
      <c r="O7" s="1077" t="s">
        <v>1389</v>
      </c>
      <c r="U7" s="1080" t="s">
        <v>19</v>
      </c>
      <c r="V7" s="371" t="s">
        <v>95</v>
      </c>
      <c r="W7" s="1085"/>
      <c r="X7" s="1076" t="s">
        <v>192</v>
      </c>
      <c r="Y7" s="1076" t="s">
        <v>1350</v>
      </c>
      <c r="Z7" s="1092"/>
      <c r="AA7" s="1095"/>
      <c r="AH7" s="1077" t="s">
        <v>1390</v>
      </c>
      <c r="AK7" s="1077" t="s">
        <v>1391</v>
      </c>
      <c r="AM7" s="1077" t="s">
        <v>1392</v>
      </c>
      <c r="AP7" s="1088" t="s">
        <v>192</v>
      </c>
      <c r="AQ7" s="1089" t="s">
        <v>192</v>
      </c>
      <c r="AU7" s="1121" t="s">
        <v>1393</v>
      </c>
      <c r="AW7" s="1121" t="s">
        <v>1394</v>
      </c>
      <c r="AX7" s="1121" t="s">
        <v>1394</v>
      </c>
      <c r="AZ7" s="1068" t="s">
        <v>1395</v>
      </c>
      <c r="BB7" s="1121" t="s">
        <v>1396</v>
      </c>
      <c r="BC7" s="1121" t="s">
        <v>1359</v>
      </c>
      <c r="BE7" s="1121">
        <v>2005</v>
      </c>
      <c r="BF7" s="1121" t="s">
        <v>1397</v>
      </c>
      <c r="BH7" s="1069" t="s">
        <v>1398</v>
      </c>
      <c r="BJ7" s="1069" t="s">
        <v>1380</v>
      </c>
      <c r="BL7" s="1069" t="s">
        <v>1380</v>
      </c>
      <c r="BN7" s="1069" t="s">
        <v>1399</v>
      </c>
      <c r="BQ7" s="1282">
        <v>4213781</v>
      </c>
      <c r="BR7" s="1069" t="s">
        <v>1284</v>
      </c>
      <c r="BS7" s="1430"/>
      <c r="BT7" s="1282">
        <v>64236873</v>
      </c>
      <c r="BU7" s="1069" t="s">
        <v>272</v>
      </c>
      <c r="BV7" s="1071"/>
      <c r="BW7" s="1696">
        <v>4213769</v>
      </c>
      <c r="BX7" s="1694" t="s">
        <v>1400</v>
      </c>
      <c r="BZ7" s="1282">
        <v>64237511</v>
      </c>
      <c r="CA7" s="1069" t="s">
        <v>302</v>
      </c>
    </row>
    <row customHeight="1" ht="11.25">
      <c r="A8" s="1075" t="s">
        <v>1401</v>
      </c>
      <c r="B8" s="1076">
        <v>2006</v>
      </c>
      <c r="E8" s="1077" t="s">
        <v>1402</v>
      </c>
      <c r="F8" s="1094"/>
      <c r="H8" s="1078" t="s">
        <v>1403</v>
      </c>
      <c r="I8" s="1077" t="s">
        <v>96</v>
      </c>
      <c r="J8" s="1077" t="s">
        <v>1404</v>
      </c>
      <c r="N8" s="1164" t="s">
        <v>1405</v>
      </c>
      <c r="O8" s="1077" t="s">
        <v>1406</v>
      </c>
      <c r="V8" s="371" t="s">
        <v>96</v>
      </c>
      <c r="W8" s="1085"/>
      <c r="X8" s="1076" t="s">
        <v>198</v>
      </c>
      <c r="Y8" s="1076" t="s">
        <v>1350</v>
      </c>
      <c r="Z8" s="1092"/>
      <c r="AA8" s="1095"/>
      <c r="AK8" s="1077" t="s">
        <v>1407</v>
      </c>
      <c r="AP8" s="1088" t="s">
        <v>198</v>
      </c>
      <c r="AQ8" s="1089" t="s">
        <v>198</v>
      </c>
      <c r="AU8" s="1121" t="s">
        <v>1408</v>
      </c>
      <c r="AW8" s="1121" t="s">
        <v>1409</v>
      </c>
      <c r="AX8" s="1121" t="s">
        <v>1409</v>
      </c>
      <c r="AZ8" s="1121" t="s">
        <v>1410</v>
      </c>
      <c r="BB8" s="1121" t="s">
        <v>1411</v>
      </c>
      <c r="BC8" s="1121" t="s">
        <v>1359</v>
      </c>
      <c r="BE8" s="1121">
        <v>2006</v>
      </c>
      <c r="BF8" s="1121" t="s">
        <v>1412</v>
      </c>
      <c r="BH8" s="1069" t="s">
        <v>1413</v>
      </c>
      <c r="BJ8" s="1069" t="s">
        <v>1414</v>
      </c>
      <c r="BL8" s="1069" t="s">
        <v>1414</v>
      </c>
      <c r="BN8" s="1069" t="s">
        <v>1415</v>
      </c>
      <c r="BQ8" s="1282">
        <v>4213776</v>
      </c>
      <c r="BR8" s="1069" t="s">
        <v>180</v>
      </c>
      <c r="BS8" s="1430"/>
      <c r="BT8" s="1282">
        <v>64236874</v>
      </c>
      <c r="BU8" s="1296" t="s">
        <v>1416</v>
      </c>
      <c r="BV8" s="1071"/>
      <c r="BW8" s="1696">
        <v>4213770</v>
      </c>
      <c r="BX8" s="1697" t="s">
        <v>1417</v>
      </c>
      <c r="BZ8" s="1282">
        <v>64237512</v>
      </c>
      <c r="CA8" s="1069" t="s">
        <v>297</v>
      </c>
    </row>
    <row customHeight="1" ht="11.25">
      <c r="A9" s="1075" t="s">
        <v>1418</v>
      </c>
      <c r="B9" s="1076">
        <v>2007</v>
      </c>
      <c r="E9" s="1077" t="s">
        <v>1419</v>
      </c>
      <c r="F9" s="1094"/>
      <c r="G9" s="1068" t="s">
        <v>1420</v>
      </c>
      <c r="H9" s="1068" t="s">
        <v>1421</v>
      </c>
      <c r="I9" s="1077" t="s">
        <v>126</v>
      </c>
      <c r="O9" s="1077" t="s">
        <v>1422</v>
      </c>
      <c r="V9" s="371" t="s">
        <v>126</v>
      </c>
      <c r="W9" s="1085"/>
      <c r="X9" s="1076" t="s">
        <v>204</v>
      </c>
      <c r="Y9" s="1076" t="s">
        <v>1259</v>
      </c>
      <c r="Z9" s="1092">
        <v>1</v>
      </c>
      <c r="AA9" s="1095"/>
      <c r="AK9" s="1077" t="s">
        <v>1423</v>
      </c>
      <c r="AP9" s="1088" t="s">
        <v>1424</v>
      </c>
      <c r="AQ9" s="1089" t="s">
        <v>1424</v>
      </c>
      <c r="AW9" s="1121" t="s">
        <v>1425</v>
      </c>
      <c r="AX9" s="1121" t="s">
        <v>1425</v>
      </c>
      <c r="AZ9" s="1121" t="s">
        <v>1426</v>
      </c>
      <c r="BB9" s="1121" t="s">
        <v>1427</v>
      </c>
      <c r="BC9" s="1121" t="s">
        <v>1359</v>
      </c>
      <c r="BE9" s="1121">
        <v>2007</v>
      </c>
      <c r="BF9" s="1121" t="s">
        <v>1428</v>
      </c>
      <c r="BH9" s="1069" t="s">
        <v>1429</v>
      </c>
      <c r="BJ9" s="1069" t="s">
        <v>1430</v>
      </c>
      <c r="BL9" s="1069" t="s">
        <v>1430</v>
      </c>
      <c r="BN9" s="1069" t="s">
        <v>1431</v>
      </c>
      <c r="BQ9" s="1282">
        <v>4213777</v>
      </c>
      <c r="BR9" s="1069" t="s">
        <v>186</v>
      </c>
      <c r="BS9" s="1430"/>
      <c r="BT9" s="1282">
        <v>64236875</v>
      </c>
      <c r="BU9" s="1069" t="s">
        <v>277</v>
      </c>
      <c r="BV9" s="1071"/>
      <c r="BW9" s="1691"/>
      <c r="BX9" s="1691"/>
    </row>
    <row customHeight="1" ht="11.25">
      <c r="A10" s="1075" t="s">
        <v>1432</v>
      </c>
      <c r="B10" s="1076">
        <v>2008</v>
      </c>
      <c r="E10" s="1077" t="s">
        <v>1433</v>
      </c>
      <c r="F10" s="1094"/>
      <c r="G10" s="1077" t="s">
        <v>1434</v>
      </c>
      <c r="H10" s="1077" t="s">
        <v>1435</v>
      </c>
      <c r="I10" s="1077" t="s">
        <v>162</v>
      </c>
      <c r="J10" s="1068" t="s">
        <v>1436</v>
      </c>
      <c r="K10" s="1068" t="s">
        <v>1437</v>
      </c>
      <c r="O10" s="1077" t="s">
        <v>1438</v>
      </c>
      <c r="V10" s="372" t="s">
        <v>162</v>
      </c>
      <c r="W10" s="1098"/>
      <c r="X10" s="1098" t="s">
        <v>1439</v>
      </c>
      <c r="Y10" s="1099" t="s">
        <v>1440</v>
      </c>
      <c r="Z10" s="1092"/>
      <c r="AP10" s="1088" t="s">
        <v>1439</v>
      </c>
      <c r="AQ10" s="1089" t="s">
        <v>1439</v>
      </c>
      <c r="AW10" s="1121" t="s">
        <v>1441</v>
      </c>
      <c r="AX10" s="1121" t="s">
        <v>1441</v>
      </c>
      <c r="AZ10" s="1121" t="s">
        <v>1442</v>
      </c>
      <c r="BB10" s="1121" t="s">
        <v>1443</v>
      </c>
      <c r="BC10" s="1121" t="s">
        <v>1359</v>
      </c>
      <c r="BE10" s="1121">
        <v>2008</v>
      </c>
      <c r="BF10" s="1121" t="s">
        <v>1444</v>
      </c>
      <c r="BH10" s="1069" t="s">
        <v>1445</v>
      </c>
      <c r="BJ10" s="1069" t="s">
        <v>1446</v>
      </c>
      <c r="BL10" s="1069" t="s">
        <v>1446</v>
      </c>
      <c r="BN10" s="1069" t="s">
        <v>1447</v>
      </c>
      <c r="BQ10" s="1282">
        <v>4213778</v>
      </c>
      <c r="BR10" s="1069" t="s">
        <v>192</v>
      </c>
      <c r="BS10" s="1430"/>
      <c r="BT10" s="1282">
        <v>64236876</v>
      </c>
      <c r="BU10" s="1069" t="s">
        <v>257</v>
      </c>
      <c r="BV10" s="1071"/>
      <c r="BW10" s="1691"/>
      <c r="BX10" s="1691"/>
    </row>
    <row customHeight="1" ht="11.25">
      <c r="A11" s="1075" t="s">
        <v>1448</v>
      </c>
      <c r="B11" s="1076">
        <v>2009</v>
      </c>
      <c r="E11" s="1077" t="s">
        <v>1449</v>
      </c>
      <c r="F11" s="1094"/>
      <c r="G11" s="1077" t="s">
        <v>1450</v>
      </c>
      <c r="H11" s="1077" t="s">
        <v>1451</v>
      </c>
      <c r="I11" s="1077" t="s">
        <v>163</v>
      </c>
      <c r="J11" s="1078" t="s">
        <v>1452</v>
      </c>
      <c r="K11" s="1100" t="s">
        <v>1453</v>
      </c>
      <c r="O11" s="1078" t="s">
        <v>1454</v>
      </c>
      <c r="V11" s="371" t="s">
        <v>163</v>
      </c>
      <c r="W11" s="276"/>
      <c r="X11" s="1085" t="s">
        <v>1424</v>
      </c>
      <c r="Y11" s="1076" t="s">
        <v>1455</v>
      </c>
      <c r="Z11" s="1092"/>
      <c r="AP11" s="1088" t="s">
        <v>204</v>
      </c>
      <c r="AQ11" s="1090" t="s">
        <v>204</v>
      </c>
      <c r="AW11" s="1121" t="s">
        <v>1456</v>
      </c>
      <c r="AX11" s="1121" t="s">
        <v>1456</v>
      </c>
      <c r="AZ11" s="1121" t="s">
        <v>1457</v>
      </c>
      <c r="BB11" s="1121" t="s">
        <v>1458</v>
      </c>
      <c r="BC11" s="1121" t="s">
        <v>1359</v>
      </c>
      <c r="BE11" s="1121">
        <v>2009</v>
      </c>
      <c r="BF11" s="1121" t="s">
        <v>1459</v>
      </c>
      <c r="BH11" s="1069" t="s">
        <v>1460</v>
      </c>
      <c r="BJ11" s="1069" t="s">
        <v>1429</v>
      </c>
      <c r="BL11" s="1069" t="s">
        <v>1429</v>
      </c>
      <c r="BN11" s="1069" t="s">
        <v>1461</v>
      </c>
      <c r="BQ11" s="1282">
        <v>4213780</v>
      </c>
      <c r="BR11" s="1069" t="s">
        <v>198</v>
      </c>
      <c r="BS11" s="1430"/>
      <c r="BW11" s="1691"/>
      <c r="BX11" s="1691"/>
    </row>
    <row customHeight="1" ht="11.25">
      <c r="A12" s="1075" t="s">
        <v>1462</v>
      </c>
      <c r="B12" s="1076">
        <v>2010</v>
      </c>
      <c r="E12" s="1077" t="s">
        <v>1463</v>
      </c>
      <c r="F12" s="1094"/>
      <c r="G12" s="1077" t="s">
        <v>1451</v>
      </c>
      <c r="I12" s="1077" t="s">
        <v>164</v>
      </c>
      <c r="J12" s="1078" t="s">
        <v>1464</v>
      </c>
      <c r="K12" s="1100" t="s">
        <v>1465</v>
      </c>
      <c r="O12" s="1078" t="s">
        <v>1254</v>
      </c>
      <c r="V12" s="371" t="s">
        <v>164</v>
      </c>
      <c r="W12" s="1090"/>
      <c r="X12" s="1085" t="s">
        <v>1466</v>
      </c>
      <c r="Y12" s="1076" t="s">
        <v>1259</v>
      </c>
      <c r="AP12" s="1088"/>
      <c r="AW12" s="1121" t="s">
        <v>163</v>
      </c>
      <c r="AX12" s="1121" t="s">
        <v>163</v>
      </c>
      <c r="AZ12" s="1121" t="s">
        <v>1467</v>
      </c>
      <c r="BB12" s="1121" t="s">
        <v>1468</v>
      </c>
      <c r="BC12" s="1121" t="s">
        <v>1359</v>
      </c>
      <c r="BE12" s="1121">
        <v>2010</v>
      </c>
      <c r="BF12" s="1121" t="s">
        <v>1469</v>
      </c>
      <c r="BH12" s="1069" t="s">
        <v>1470</v>
      </c>
      <c r="BJ12" s="1069" t="s">
        <v>1471</v>
      </c>
      <c r="BL12" s="1069" t="s">
        <v>1471</v>
      </c>
      <c r="BN12" s="1069" t="s">
        <v>1472</v>
      </c>
      <c r="BQ12" s="1282">
        <v>4213779</v>
      </c>
      <c r="BR12" s="1069" t="s">
        <v>1424</v>
      </c>
      <c r="BS12" s="1430"/>
      <c r="BT12" s="1071"/>
      <c r="BU12" s="1071"/>
      <c r="BV12" s="1071"/>
      <c r="BW12" s="1691"/>
      <c r="BX12" s="1691"/>
    </row>
    <row customHeight="1" ht="11.25">
      <c r="A13" s="1075" t="s">
        <v>1473</v>
      </c>
      <c r="B13" s="1076">
        <v>2011</v>
      </c>
      <c r="E13" s="1077" t="s">
        <v>1474</v>
      </c>
      <c r="F13" s="1094"/>
      <c r="I13" s="1077" t="s">
        <v>165</v>
      </c>
      <c r="K13" s="1100" t="s">
        <v>1423</v>
      </c>
      <c r="V13" s="371" t="s">
        <v>165</v>
      </c>
      <c r="W13" s="1090"/>
      <c r="X13" s="1090"/>
      <c r="Y13" s="1090"/>
      <c r="AW13" s="1121" t="s">
        <v>164</v>
      </c>
      <c r="AX13" s="1121" t="s">
        <v>164</v>
      </c>
      <c r="BB13" s="1121" t="s">
        <v>1475</v>
      </c>
      <c r="BC13" s="1121" t="s">
        <v>1476</v>
      </c>
      <c r="BE13" s="1121">
        <v>2011</v>
      </c>
      <c r="BF13" s="1121" t="s">
        <v>1477</v>
      </c>
      <c r="BH13" s="1069" t="s">
        <v>1478</v>
      </c>
      <c r="BJ13" s="1069" t="s">
        <v>1460</v>
      </c>
      <c r="BL13" s="1069" t="s">
        <v>1460</v>
      </c>
      <c r="BN13" s="1069" t="s">
        <v>1479</v>
      </c>
      <c r="BQ13" s="1282">
        <v>4213783</v>
      </c>
      <c r="BR13" s="1069" t="s">
        <v>1439</v>
      </c>
      <c r="BS13" s="1430"/>
      <c r="BT13" s="1071"/>
      <c r="BU13" s="1071"/>
      <c r="BV13" s="1071"/>
      <c r="BW13" s="1695"/>
      <c r="BX13" s="1691"/>
    </row>
    <row customHeight="1" ht="11.25">
      <c r="A14" s="1075" t="s">
        <v>1480</v>
      </c>
      <c r="B14" s="1076">
        <v>2012</v>
      </c>
      <c r="I14" s="1077" t="s">
        <v>166</v>
      </c>
      <c r="J14" s="1068" t="s">
        <v>1481</v>
      </c>
      <c r="N14" s="1068" t="s">
        <v>1482</v>
      </c>
      <c r="V14" s="1084">
        <v>13</v>
      </c>
      <c r="W14" s="1085"/>
      <c r="X14" s="1085" t="s">
        <v>1291</v>
      </c>
      <c r="Y14" s="1076" t="s">
        <v>1259</v>
      </c>
      <c r="AW14" s="1121" t="s">
        <v>165</v>
      </c>
      <c r="AX14" s="1121" t="s">
        <v>165</v>
      </c>
      <c r="AZ14" s="1068" t="s">
        <v>1483</v>
      </c>
      <c r="BB14" s="1121" t="s">
        <v>1484</v>
      </c>
      <c r="BC14" s="1121" t="s">
        <v>1476</v>
      </c>
      <c r="BE14" s="1121">
        <v>2012</v>
      </c>
      <c r="BH14" s="1069" t="s">
        <v>1399</v>
      </c>
      <c r="BJ14" s="1218" t="s">
        <v>1485</v>
      </c>
      <c r="BL14" s="1218" t="s">
        <v>1485</v>
      </c>
      <c r="BN14" s="1069" t="s">
        <v>1486</v>
      </c>
      <c r="BQ14" s="1282">
        <v>4213782</v>
      </c>
      <c r="BR14" s="1069" t="s">
        <v>204</v>
      </c>
      <c r="BS14" s="1430"/>
      <c r="BT14" s="1071"/>
      <c r="BU14" s="1071"/>
      <c r="BV14" s="1071"/>
      <c r="BW14" s="1695"/>
      <c r="BX14" s="1691"/>
    </row>
    <row customHeight="1" ht="19.5">
      <c r="A15" s="1075" t="s">
        <v>1487</v>
      </c>
      <c r="B15" s="1076">
        <v>2013</v>
      </c>
      <c r="E15" s="1699" t="s">
        <v>1488</v>
      </c>
      <c r="G15" s="1068" t="s">
        <v>1489</v>
      </c>
      <c r="H15" s="1068" t="s">
        <v>1490</v>
      </c>
      <c r="I15" s="1079" t="s">
        <v>167</v>
      </c>
      <c r="J15" s="1090" t="s">
        <v>616</v>
      </c>
      <c r="N15" s="1159" t="s">
        <v>1491</v>
      </c>
      <c r="X15" s="1088"/>
      <c r="AW15" s="1121" t="s">
        <v>166</v>
      </c>
      <c r="AX15" s="1121" t="s">
        <v>166</v>
      </c>
      <c r="AZ15" s="1121" t="s">
        <v>1410</v>
      </c>
      <c r="BB15" s="1121" t="s">
        <v>1492</v>
      </c>
      <c r="BC15" s="1121" t="s">
        <v>1476</v>
      </c>
      <c r="BE15" s="1121">
        <v>2013</v>
      </c>
      <c r="BH15" s="1069" t="s">
        <v>1415</v>
      </c>
      <c r="BJ15" s="1218" t="s">
        <v>1493</v>
      </c>
      <c r="BL15" s="1218" t="s">
        <v>1493</v>
      </c>
      <c r="BN15" s="1069" t="s">
        <v>1494</v>
      </c>
      <c r="BR15" s="1071"/>
      <c r="BS15" s="1432"/>
      <c r="BT15" s="1071"/>
      <c r="BU15" s="1071"/>
      <c r="BV15" s="1071"/>
      <c r="BW15" s="1695"/>
      <c r="BX15" s="1691"/>
    </row>
    <row customHeight="1" ht="21">
      <c r="A16" s="1871" t="s">
        <v>1495</v>
      </c>
      <c r="B16" s="1076">
        <v>2014</v>
      </c>
      <c r="E16" s="1700" t="s">
        <v>1496</v>
      </c>
      <c r="G16" s="1077" t="s">
        <v>1497</v>
      </c>
      <c r="H16" s="1077" t="s">
        <v>1498</v>
      </c>
      <c r="I16" s="1079" t="s">
        <v>1499</v>
      </c>
      <c r="J16" s="1090" t="s">
        <v>589</v>
      </c>
      <c r="N16" s="1159" t="s">
        <v>1500</v>
      </c>
      <c r="AW16" s="1121" t="s">
        <v>167</v>
      </c>
      <c r="AX16" s="1121" t="s">
        <v>167</v>
      </c>
      <c r="AZ16" s="1121" t="s">
        <v>1426</v>
      </c>
      <c r="BB16" s="1121" t="s">
        <v>1501</v>
      </c>
      <c r="BC16" s="1121" t="s">
        <v>1476</v>
      </c>
      <c r="BE16" s="1121">
        <v>2014</v>
      </c>
      <c r="BH16" s="1069" t="s">
        <v>1431</v>
      </c>
      <c r="BJ16" s="1218" t="s">
        <v>1502</v>
      </c>
      <c r="BL16" s="1218" t="s">
        <v>1502</v>
      </c>
      <c r="BN16" s="1069" t="s">
        <v>1503</v>
      </c>
      <c r="BR16" s="1071"/>
      <c r="BS16" s="1432"/>
      <c r="BT16" s="1071"/>
      <c r="BU16" s="1071"/>
      <c r="BV16" s="1071"/>
      <c r="BW16" s="1695"/>
      <c r="BX16" s="1691"/>
    </row>
    <row customHeight="1" ht="21">
      <c r="A17" s="1075" t="s">
        <v>1504</v>
      </c>
      <c r="B17" s="1076">
        <v>2015</v>
      </c>
      <c r="G17" s="1077" t="s">
        <v>1451</v>
      </c>
      <c r="H17" s="1077" t="s">
        <v>1451</v>
      </c>
      <c r="I17" s="1077" t="s">
        <v>1505</v>
      </c>
      <c r="N17" s="1159" t="s">
        <v>1506</v>
      </c>
      <c r="X17" s="1088"/>
      <c r="AW17" s="1121" t="s">
        <v>1499</v>
      </c>
      <c r="AX17" s="1121" t="s">
        <v>1499</v>
      </c>
      <c r="AZ17" s="1121" t="s">
        <v>1507</v>
      </c>
      <c r="BB17" s="1121" t="s">
        <v>1508</v>
      </c>
      <c r="BC17" s="1121" t="s">
        <v>1359</v>
      </c>
      <c r="BE17" s="1121">
        <v>2015</v>
      </c>
      <c r="BH17" s="1069" t="s">
        <v>1447</v>
      </c>
      <c r="BJ17" s="1218" t="s">
        <v>1509</v>
      </c>
      <c r="BL17" s="1218" t="s">
        <v>1509</v>
      </c>
      <c r="BN17" s="1069" t="s">
        <v>1510</v>
      </c>
      <c r="BR17" s="1068" t="s">
        <v>1302</v>
      </c>
      <c r="BS17" s="1429"/>
      <c r="BU17" s="1068" t="s">
        <v>1511</v>
      </c>
      <c r="BV17" s="1071"/>
      <c r="BW17" s="1691"/>
      <c r="BX17" s="1693" t="s">
        <v>1512</v>
      </c>
      <c r="CA17" s="1068" t="s">
        <v>1513</v>
      </c>
      <c r="CD17" s="1068" t="s">
        <v>1514</v>
      </c>
    </row>
    <row customHeight="1" ht="21">
      <c r="A18" s="1075" t="s">
        <v>1515</v>
      </c>
      <c r="B18" s="1076">
        <v>2016</v>
      </c>
      <c r="E18" s="2006" t="s">
        <v>1516</v>
      </c>
      <c r="I18" s="1077" t="s">
        <v>1517</v>
      </c>
      <c r="N18" s="1159" t="s">
        <v>1518</v>
      </c>
      <c r="X18" s="1088"/>
      <c r="AW18" s="1121" t="s">
        <v>1505</v>
      </c>
      <c r="AX18" s="1121" t="s">
        <v>1505</v>
      </c>
      <c r="BB18" s="1121" t="s">
        <v>1519</v>
      </c>
      <c r="BC18" s="1121" t="s">
        <v>1359</v>
      </c>
      <c r="BE18" s="1121">
        <v>2016</v>
      </c>
      <c r="BH18" s="1069" t="s">
        <v>1461</v>
      </c>
      <c r="BJ18" s="1218" t="s">
        <v>1520</v>
      </c>
      <c r="BL18" s="1218" t="s">
        <v>1520</v>
      </c>
      <c r="BN18" s="1069" t="s">
        <v>1521</v>
      </c>
      <c r="BQ18" s="1433" t="s">
        <v>1331</v>
      </c>
      <c r="BR18" s="1160" t="s">
        <v>1332</v>
      </c>
      <c r="BS18" s="275"/>
      <c r="BT18" s="1433" t="s">
        <v>1522</v>
      </c>
      <c r="BU18" s="1160" t="s">
        <v>1523</v>
      </c>
      <c r="BV18" s="1071"/>
      <c r="BW18" s="1698" t="s">
        <v>1524</v>
      </c>
      <c r="BX18" s="1692" t="s">
        <v>1525</v>
      </c>
      <c r="BZ18" s="1433" t="s">
        <v>1526</v>
      </c>
      <c r="CA18" s="1160" t="s">
        <v>1527</v>
      </c>
      <c r="CC18" s="1433" t="s">
        <v>1528</v>
      </c>
      <c r="CD18" s="1160" t="s">
        <v>1529</v>
      </c>
    </row>
    <row customHeight="1" ht="21">
      <c r="A19" s="1871" t="s">
        <v>1530</v>
      </c>
      <c r="B19" s="1076">
        <v>2017</v>
      </c>
      <c r="E19" s="1075" t="s">
        <v>174</v>
      </c>
      <c r="I19" s="1077" t="s">
        <v>102</v>
      </c>
      <c r="N19" s="1159" t="s">
        <v>1531</v>
      </c>
      <c r="X19" s="1088"/>
      <c r="AW19" s="1121" t="s">
        <v>1517</v>
      </c>
      <c r="AX19" s="1121" t="s">
        <v>1517</v>
      </c>
      <c r="AZ19" s="1068" t="s">
        <v>1532</v>
      </c>
      <c r="BB19" s="1121" t="s">
        <v>1533</v>
      </c>
      <c r="BC19" s="1121" t="s">
        <v>1359</v>
      </c>
      <c r="BE19" s="1121">
        <v>2017</v>
      </c>
      <c r="BH19" s="1069" t="s">
        <v>1534</v>
      </c>
      <c r="BJ19" s="1218" t="s">
        <v>1535</v>
      </c>
      <c r="BL19" s="1218" t="s">
        <v>1535</v>
      </c>
      <c r="BQ19" s="1282">
        <v>4190064</v>
      </c>
      <c r="BR19" s="1069" t="s">
        <v>1536</v>
      </c>
      <c r="BS19" s="1430"/>
      <c r="BT19" s="1282">
        <v>4189671</v>
      </c>
      <c r="BU19" s="1069" t="s">
        <v>1537</v>
      </c>
      <c r="BV19" s="1071"/>
      <c r="BW19" s="1696">
        <v>4189706</v>
      </c>
      <c r="BX19" s="1694" t="s">
        <v>1538</v>
      </c>
      <c r="BZ19" s="1282">
        <v>4189714</v>
      </c>
      <c r="CA19" s="1069" t="s">
        <v>1539</v>
      </c>
      <c r="CC19" s="1282">
        <v>4189708</v>
      </c>
      <c r="CD19" s="1069" t="s">
        <v>1540</v>
      </c>
    </row>
    <row customHeight="1" ht="21">
      <c r="A20" s="1075" t="s">
        <v>1541</v>
      </c>
      <c r="B20" s="1076">
        <v>2018</v>
      </c>
      <c r="E20" s="1075" t="s">
        <v>1291</v>
      </c>
      <c r="I20" s="1077" t="s">
        <v>1542</v>
      </c>
      <c r="N20" s="1159" t="s">
        <v>1543</v>
      </c>
      <c r="AW20" s="1121" t="s">
        <v>102</v>
      </c>
      <c r="AX20" s="1121" t="s">
        <v>102</v>
      </c>
      <c r="AZ20" s="1121" t="s">
        <v>1544</v>
      </c>
      <c r="BB20" s="1121" t="s">
        <v>1545</v>
      </c>
      <c r="BC20" s="1121" t="s">
        <v>1476</v>
      </c>
      <c r="BE20" s="1121">
        <v>2018</v>
      </c>
      <c r="BH20" s="1069" t="s">
        <v>1472</v>
      </c>
      <c r="BJ20" s="1069" t="s">
        <v>1399</v>
      </c>
      <c r="BL20" s="1069" t="s">
        <v>1399</v>
      </c>
      <c r="BQ20" s="1282">
        <v>4190065</v>
      </c>
      <c r="BR20" s="1069" t="s">
        <v>1546</v>
      </c>
      <c r="BS20" s="1430"/>
      <c r="BT20" s="1282">
        <v>4189672</v>
      </c>
      <c r="BU20" s="1069" t="s">
        <v>1547</v>
      </c>
      <c r="BV20" s="1071"/>
      <c r="BW20" s="1696">
        <v>4189705</v>
      </c>
      <c r="BX20" s="1694" t="s">
        <v>1548</v>
      </c>
      <c r="BZ20" s="1282">
        <v>4189713</v>
      </c>
      <c r="CA20" s="1069" t="s">
        <v>1548</v>
      </c>
      <c r="CC20" s="1282">
        <v>4189709</v>
      </c>
      <c r="CD20" s="1069" t="s">
        <v>1549</v>
      </c>
    </row>
    <row customHeight="1" ht="21">
      <c r="A21" s="1075" t="s">
        <v>1550</v>
      </c>
      <c r="B21" s="1076">
        <v>2019</v>
      </c>
      <c r="I21" s="1077" t="s">
        <v>1551</v>
      </c>
      <c r="N21" s="1159" t="s">
        <v>1552</v>
      </c>
      <c r="AW21" s="1121" t="s">
        <v>1542</v>
      </c>
      <c r="AX21" s="1121" t="s">
        <v>1542</v>
      </c>
      <c r="AZ21" s="1121" t="s">
        <v>1553</v>
      </c>
      <c r="BB21" s="1121" t="s">
        <v>1554</v>
      </c>
      <c r="BC21" s="1121" t="s">
        <v>1359</v>
      </c>
      <c r="BE21" s="1121">
        <v>2019</v>
      </c>
      <c r="BH21" s="1069" t="s">
        <v>1479</v>
      </c>
      <c r="BJ21" s="1069" t="s">
        <v>1415</v>
      </c>
      <c r="BL21" s="1069" t="s">
        <v>1415</v>
      </c>
      <c r="BQ21" s="1282">
        <v>4190066</v>
      </c>
      <c r="BR21" s="1069" t="s">
        <v>1555</v>
      </c>
      <c r="BS21" s="1430"/>
      <c r="BT21" s="1282">
        <v>4189673</v>
      </c>
      <c r="BU21" s="1069" t="s">
        <v>1556</v>
      </c>
      <c r="BV21" s="1071"/>
      <c r="BW21" s="1696">
        <v>4189707</v>
      </c>
      <c r="BX21" s="1694" t="s">
        <v>1557</v>
      </c>
      <c r="BZ21" s="1282">
        <v>4189712</v>
      </c>
      <c r="CA21" s="1069" t="s">
        <v>1558</v>
      </c>
      <c r="CC21" s="1282">
        <v>4189710</v>
      </c>
      <c r="CD21" s="1069" t="s">
        <v>1559</v>
      </c>
    </row>
    <row customHeight="1" ht="21">
      <c r="A22" s="1075" t="s">
        <v>1560</v>
      </c>
      <c r="B22" s="1076">
        <v>2020</v>
      </c>
      <c r="N22" s="1159" t="s">
        <v>1561</v>
      </c>
      <c r="AW22" s="1121" t="s">
        <v>1551</v>
      </c>
      <c r="AX22" s="1121" t="s">
        <v>1551</v>
      </c>
      <c r="AZ22" s="1121" t="s">
        <v>1562</v>
      </c>
      <c r="BB22" s="1121" t="s">
        <v>1563</v>
      </c>
      <c r="BC22" s="1121" t="s">
        <v>1359</v>
      </c>
      <c r="BE22" s="1121">
        <v>2020</v>
      </c>
      <c r="BH22" s="1069" t="s">
        <v>1486</v>
      </c>
      <c r="BJ22" s="1069" t="s">
        <v>1431</v>
      </c>
      <c r="BL22" s="1069" t="s">
        <v>1431</v>
      </c>
      <c r="BQ22" s="1282">
        <v>4190067</v>
      </c>
      <c r="BR22" s="1069" t="s">
        <v>1564</v>
      </c>
      <c r="BS22" s="1430"/>
      <c r="BT22" s="1282">
        <v>4189674</v>
      </c>
      <c r="BU22" s="1069" t="s">
        <v>1565</v>
      </c>
      <c r="BV22" s="1071"/>
      <c r="BW22" s="1071"/>
      <c r="CC22" s="1282">
        <v>4189711</v>
      </c>
      <c r="CD22" s="1069" t="s">
        <v>326</v>
      </c>
    </row>
    <row customHeight="1" ht="21">
      <c r="A23" s="1075" t="s">
        <v>1566</v>
      </c>
      <c r="B23" s="1076">
        <v>2021</v>
      </c>
      <c r="AW23" s="1121" t="s">
        <v>1567</v>
      </c>
      <c r="AX23" s="1121" t="s">
        <v>1567</v>
      </c>
      <c r="AZ23" s="1121" t="s">
        <v>1568</v>
      </c>
      <c r="BB23" s="1121" t="s">
        <v>1569</v>
      </c>
      <c r="BC23" s="1121" t="s">
        <v>1269</v>
      </c>
      <c r="BE23" s="1121">
        <v>2021</v>
      </c>
      <c r="BH23" s="1069" t="s">
        <v>1494</v>
      </c>
      <c r="BJ23" s="1069" t="s">
        <v>1447</v>
      </c>
      <c r="BL23" s="1069" t="s">
        <v>1447</v>
      </c>
      <c r="BQ23" s="1282">
        <v>4190068</v>
      </c>
      <c r="BR23" s="1069" t="s">
        <v>1570</v>
      </c>
      <c r="BS23" s="1430"/>
      <c r="BT23" s="1282">
        <v>4189675</v>
      </c>
      <c r="BU23" s="1069" t="s">
        <v>1571</v>
      </c>
      <c r="BV23" s="1071"/>
      <c r="BW23" s="1071"/>
      <c r="CC23" s="1282">
        <v>5110778</v>
      </c>
      <c r="CD23" s="1069" t="s">
        <v>1572</v>
      </c>
    </row>
    <row customHeight="1" ht="21">
      <c r="A24" s="1075" t="s">
        <v>1573</v>
      </c>
      <c r="B24" s="1076">
        <v>2022</v>
      </c>
      <c r="AW24" s="1121" t="s">
        <v>1574</v>
      </c>
      <c r="AX24" s="1121" t="s">
        <v>1574</v>
      </c>
      <c r="AZ24" s="1121" t="s">
        <v>1575</v>
      </c>
      <c r="BB24" s="1121" t="s">
        <v>1576</v>
      </c>
      <c r="BC24" s="1121" t="s">
        <v>1577</v>
      </c>
      <c r="BE24" s="1121">
        <v>2022</v>
      </c>
      <c r="BH24" s="1069" t="s">
        <v>1503</v>
      </c>
      <c r="BJ24" s="1069" t="s">
        <v>1461</v>
      </c>
      <c r="BL24" s="1069" t="s">
        <v>1461</v>
      </c>
      <c r="BQ24" s="1282">
        <v>4190069</v>
      </c>
      <c r="BR24" s="1069" t="s">
        <v>1578</v>
      </c>
      <c r="BS24" s="1430"/>
      <c r="BT24" s="1282">
        <v>4189676</v>
      </c>
      <c r="BU24" s="1069" t="s">
        <v>1579</v>
      </c>
      <c r="BV24" s="1071"/>
      <c r="BW24" s="1071"/>
      <c r="CC24" s="1282">
        <v>25575374</v>
      </c>
      <c r="CD24" s="1069" t="s">
        <v>1580</v>
      </c>
    </row>
    <row customHeight="1" ht="11.25">
      <c r="A25" s="1075" t="s">
        <v>1581</v>
      </c>
      <c r="B25" s="1076">
        <v>2023</v>
      </c>
      <c r="AW25" s="1121" t="s">
        <v>1582</v>
      </c>
      <c r="AX25" s="1121" t="s">
        <v>1582</v>
      </c>
      <c r="AZ25" s="1121" t="s">
        <v>1583</v>
      </c>
      <c r="BB25" s="1121" t="s">
        <v>1584</v>
      </c>
      <c r="BC25" s="1121" t="s">
        <v>1577</v>
      </c>
      <c r="BE25" s="1121">
        <v>2023</v>
      </c>
      <c r="BH25" s="1069" t="s">
        <v>1510</v>
      </c>
      <c r="BJ25" s="1069" t="s">
        <v>1534</v>
      </c>
      <c r="BL25" s="1069" t="s">
        <v>1534</v>
      </c>
      <c r="BQ25" s="1282">
        <v>4190070</v>
      </c>
      <c r="BR25" s="1069" t="s">
        <v>1585</v>
      </c>
      <c r="BS25" s="1430"/>
      <c r="BT25" s="1282">
        <v>4189677</v>
      </c>
      <c r="BU25" s="1069" t="s">
        <v>1586</v>
      </c>
      <c r="BV25" s="1071"/>
      <c r="BW25" s="1071"/>
    </row>
    <row customHeight="1" ht="11.25">
      <c r="A26" s="1075" t="s">
        <v>1587</v>
      </c>
      <c r="B26" s="1076">
        <v>2024</v>
      </c>
      <c r="J26" s="1732" t="s">
        <v>1588</v>
      </c>
      <c r="AX26" s="1121" t="s">
        <v>1589</v>
      </c>
      <c r="AZ26" s="1121" t="s">
        <v>1454</v>
      </c>
      <c r="BB26" s="1121" t="s">
        <v>1590</v>
      </c>
      <c r="BC26" s="1121" t="s">
        <v>1577</v>
      </c>
      <c r="BE26" s="1121">
        <v>2024</v>
      </c>
      <c r="BH26" s="1069" t="s">
        <v>1521</v>
      </c>
      <c r="BJ26" s="1069" t="s">
        <v>1472</v>
      </c>
      <c r="BL26" s="1069" t="s">
        <v>1472</v>
      </c>
      <c r="BQ26" s="1282">
        <v>4190071</v>
      </c>
      <c r="BR26" s="1069" t="s">
        <v>1591</v>
      </c>
      <c r="BS26" s="1430"/>
      <c r="BV26" s="1071"/>
      <c r="BW26" s="1071"/>
    </row>
    <row customHeight="1" ht="11.25">
      <c r="A27" s="1075" t="s">
        <v>1592</v>
      </c>
      <c r="B27" s="1076">
        <v>2025</v>
      </c>
      <c r="J27" s="177" t="s">
        <v>108</v>
      </c>
      <c r="AX27" s="1121" t="s">
        <v>1593</v>
      </c>
      <c r="BB27" s="1121" t="s">
        <v>1594</v>
      </c>
      <c r="BC27" s="1121" t="s">
        <v>1577</v>
      </c>
      <c r="BE27" s="1121">
        <v>2025</v>
      </c>
      <c r="BH27" s="1071" t="s">
        <v>28</v>
      </c>
      <c r="BJ27" s="1069" t="s">
        <v>1479</v>
      </c>
      <c r="BL27" s="1069" t="s">
        <v>1479</v>
      </c>
      <c r="BN27" s="1071" t="s">
        <v>28</v>
      </c>
      <c r="BQ27" s="1282">
        <v>4190072</v>
      </c>
      <c r="BR27" s="1069" t="s">
        <v>1595</v>
      </c>
      <c r="BS27" s="1430"/>
      <c r="BV27" s="1071"/>
      <c r="BW27" s="1071"/>
    </row>
    <row customHeight="1" ht="11.25">
      <c r="A28" s="1075" t="s">
        <v>1596</v>
      </c>
      <c r="D28" s="1102"/>
      <c r="E28" s="1103"/>
      <c r="F28" s="1103"/>
      <c r="H28" s="1104" t="s">
        <v>1597</v>
      </c>
      <c r="AX28" s="1121" t="s">
        <v>1598</v>
      </c>
      <c r="AZ28" s="1068" t="s">
        <v>1599</v>
      </c>
      <c r="BB28" s="1121" t="s">
        <v>1600</v>
      </c>
      <c r="BC28" s="1121" t="s">
        <v>1601</v>
      </c>
      <c r="BE28" s="1121">
        <v>2026</v>
      </c>
      <c r="BH28" s="1071" t="s">
        <v>28</v>
      </c>
      <c r="BJ28" s="1069" t="s">
        <v>1486</v>
      </c>
      <c r="BL28" s="1069" t="s">
        <v>1486</v>
      </c>
      <c r="BN28" s="1071" t="s">
        <v>28</v>
      </c>
      <c r="BQ28" s="1282">
        <v>4190073</v>
      </c>
      <c r="BR28" s="1069" t="s">
        <v>1602</v>
      </c>
      <c r="BS28" s="1430"/>
      <c r="BV28" s="1071"/>
      <c r="BW28" s="1071"/>
    </row>
    <row customHeight="1" ht="11.25">
      <c r="A29" s="1075" t="s">
        <v>1603</v>
      </c>
      <c r="D29" s="1105" t="s">
        <v>1604</v>
      </c>
      <c r="E29" s="1106" t="str">
        <f>IF(TEMPLATE_GROUP="","",INDEX(StartDateList,MATCH(TEMPLATE_GROUP,CodeTemplateList,0),1))</f>
        <v>01.01.2025</v>
      </c>
      <c r="F29" s="1106" t="str">
        <f>IF(TEMPLATE_GROUP="","",INDEX(EndDateList,MATCH(TEMPLATE_GROUP,CodeTemplateList,0),1))</f>
        <v>31.12.2025</v>
      </c>
      <c r="H29" s="1107" t="s">
        <v>1605</v>
      </c>
      <c r="AX29" s="1121" t="s">
        <v>1606</v>
      </c>
      <c r="AZ29" s="1121" t="s">
        <v>1255</v>
      </c>
      <c r="BB29" s="1121" t="s">
        <v>1454</v>
      </c>
      <c r="BC29" s="1092"/>
      <c r="BE29" s="1121">
        <v>2027</v>
      </c>
      <c r="BJ29" s="1069" t="s">
        <v>1494</v>
      </c>
      <c r="BL29" s="1069" t="s">
        <v>1494</v>
      </c>
    </row>
    <row customHeight="1" ht="11.25">
      <c r="A30" s="1075" t="s">
        <v>1607</v>
      </c>
      <c r="D30" s="1108"/>
      <c r="E30" s="1109"/>
      <c r="F30" s="1109"/>
      <c r="AX30" s="1121" t="s">
        <v>1608</v>
      </c>
      <c r="AZ30" s="1121" t="s">
        <v>1280</v>
      </c>
      <c r="BE30" s="1121">
        <v>2028</v>
      </c>
      <c r="BJ30" s="1069" t="s">
        <v>1609</v>
      </c>
      <c r="BL30" s="1069" t="s">
        <v>1609</v>
      </c>
    </row>
    <row customHeight="1" ht="12.75">
      <c r="A31" s="1075" t="s">
        <v>1610</v>
      </c>
      <c r="D31" s="1102"/>
      <c r="E31" s="1103"/>
      <c r="F31" s="1103"/>
      <c r="H31" s="1110"/>
      <c r="AX31" s="1121" t="s">
        <v>1611</v>
      </c>
      <c r="AZ31" s="1121" t="s">
        <v>1612</v>
      </c>
      <c r="BE31" s="1121">
        <v>2029</v>
      </c>
      <c r="BJ31" s="1069" t="s">
        <v>1613</v>
      </c>
      <c r="BL31" s="1069" t="s">
        <v>1613</v>
      </c>
    </row>
    <row customHeight="1" ht="11.25">
      <c r="A32" s="1075" t="s">
        <v>1614</v>
      </c>
      <c r="D32" s="1105" t="s">
        <v>1615</v>
      </c>
      <c r="E32" s="1106" t="str">
        <f>IF(TEMPLATE_GROUP="","",INDEX(StartDateList,MATCH(TEMPLATE_GROUP,CodeTemplateList,0),1))</f>
        <v>01.01.2025</v>
      </c>
      <c r="F32" s="1106" t="str">
        <f>IF(TEMPLATE_GROUP="","",INDEX(EndDateList,MATCH(TEMPLATE_GROUP,CodeTemplateList,0),1))</f>
        <v>31.12.2025</v>
      </c>
      <c r="H32" s="1111" t="s">
        <v>1616</v>
      </c>
      <c r="O32" s="1075" t="s">
        <v>1252</v>
      </c>
      <c r="AX32" s="1121" t="s">
        <v>1617</v>
      </c>
      <c r="AZ32" s="1121" t="s">
        <v>1347</v>
      </c>
      <c r="BE32" s="1121">
        <v>2030</v>
      </c>
      <c r="BJ32" s="1069" t="s">
        <v>1503</v>
      </c>
      <c r="BL32" s="1069" t="s">
        <v>1503</v>
      </c>
    </row>
    <row customHeight="1" ht="11.25">
      <c r="A33" s="1075" t="s">
        <v>1618</v>
      </c>
      <c r="O33" s="1075" t="s">
        <v>1278</v>
      </c>
      <c r="AX33" s="1121" t="s">
        <v>1619</v>
      </c>
      <c r="AZ33" s="1121" t="s">
        <v>1254</v>
      </c>
      <c r="BE33" s="1121">
        <v>2031</v>
      </c>
      <c r="BJ33" s="1069" t="s">
        <v>1510</v>
      </c>
      <c r="BL33" s="1069" t="s">
        <v>1510</v>
      </c>
    </row>
    <row customHeight="1" ht="11.25">
      <c r="A34" s="1075" t="s">
        <v>1620</v>
      </c>
      <c r="O34" s="1075" t="s">
        <v>1313</v>
      </c>
      <c r="AX34" s="1121" t="s">
        <v>1621</v>
      </c>
      <c r="BE34" s="1121">
        <v>2032</v>
      </c>
      <c r="BJ34" s="1069" t="s">
        <v>1521</v>
      </c>
      <c r="BL34" s="1069" t="s">
        <v>1521</v>
      </c>
    </row>
    <row customHeight="1" ht="11.25">
      <c r="A35" s="1075" t="s">
        <v>1622</v>
      </c>
      <c r="O35" s="1075" t="s">
        <v>1345</v>
      </c>
      <c r="AX35" s="1121" t="s">
        <v>1623</v>
      </c>
      <c r="AZ35" s="1068" t="s">
        <v>1624</v>
      </c>
      <c r="BE35" s="1121">
        <v>2033</v>
      </c>
      <c r="BL35" s="1069" t="s">
        <v>1625</v>
      </c>
    </row>
    <row customHeight="1" ht="11.25">
      <c r="A36" s="1871" t="s">
        <v>1626</v>
      </c>
      <c r="D36" s="1112" t="s">
        <v>1627</v>
      </c>
      <c r="E36" s="1113" t="s">
        <v>840</v>
      </c>
      <c r="F36" s="1114" t="str">
        <f>INDEX(E37:E41,MATCH(TEMPLATE_SPHERE,F37:F41,0))</f>
        <v>теплоснабжения</v>
      </c>
      <c r="G36" s="1114" t="str">
        <f>INDEX(G37:G41,MATCH(TEMPLATE_SPHERE,F37:F41,0))</f>
        <v>теплоснабжение</v>
      </c>
      <c r="O36" s="1075" t="s">
        <v>1370</v>
      </c>
      <c r="AX36" s="1121" t="s">
        <v>1628</v>
      </c>
      <c r="AZ36" s="1121" t="s">
        <v>1254</v>
      </c>
      <c r="BE36" s="1121">
        <v>2034</v>
      </c>
      <c r="BL36" s="1069" t="s">
        <v>1629</v>
      </c>
    </row>
    <row customHeight="1" ht="11.25">
      <c r="A37" s="1075" t="s">
        <v>1630</v>
      </c>
      <c r="E37" s="408" t="s">
        <v>1631</v>
      </c>
      <c r="F37" s="1115" t="s">
        <v>840</v>
      </c>
      <c r="G37" s="408" t="s">
        <v>1632</v>
      </c>
      <c r="O37" s="1075" t="s">
        <v>1389</v>
      </c>
      <c r="AX37" s="1121" t="s">
        <v>114</v>
      </c>
      <c r="AZ37" s="1121" t="s">
        <v>1279</v>
      </c>
      <c r="BE37" s="1121">
        <v>2035</v>
      </c>
    </row>
    <row customHeight="1" ht="11.25">
      <c r="A38" s="1075" t="s">
        <v>1633</v>
      </c>
      <c r="E38" s="408" t="s">
        <v>1634</v>
      </c>
      <c r="F38" s="1116" t="s">
        <v>886</v>
      </c>
      <c r="G38" s="408" t="s">
        <v>1635</v>
      </c>
      <c r="O38" s="1075" t="s">
        <v>1406</v>
      </c>
      <c r="AX38" s="1121" t="s">
        <v>1636</v>
      </c>
      <c r="AZ38" s="1121" t="s">
        <v>1314</v>
      </c>
      <c r="BE38" s="1121">
        <v>2036</v>
      </c>
      <c r="BH38" s="1068" t="s">
        <v>1637</v>
      </c>
      <c r="BJ38" s="1068" t="s">
        <v>1638</v>
      </c>
      <c r="BL38" s="1068" t="s">
        <v>1639</v>
      </c>
      <c r="BN38" s="1068" t="s">
        <v>1640</v>
      </c>
    </row>
    <row customHeight="1" ht="11.25">
      <c r="A39" s="1075" t="s">
        <v>1641</v>
      </c>
      <c r="E39" s="408" t="s">
        <v>1642</v>
      </c>
      <c r="F39" s="1116" t="s">
        <v>939</v>
      </c>
      <c r="G39" s="408" t="s">
        <v>1643</v>
      </c>
      <c r="O39" s="1075" t="s">
        <v>1422</v>
      </c>
      <c r="AX39" s="1121" t="s">
        <v>1644</v>
      </c>
      <c r="AZ39" s="1121" t="s">
        <v>1346</v>
      </c>
      <c r="BE39" s="1121">
        <v>2037</v>
      </c>
      <c r="BH39" s="1069" t="s">
        <v>1645</v>
      </c>
      <c r="BJ39" s="1218" t="s">
        <v>1645</v>
      </c>
      <c r="BL39" s="1218" t="s">
        <v>1645</v>
      </c>
      <c r="BN39" s="1069" t="s">
        <v>1646</v>
      </c>
    </row>
    <row customHeight="1" ht="11.25">
      <c r="A40" s="1075" t="s">
        <v>1647</v>
      </c>
      <c r="E40" s="408" t="s">
        <v>1648</v>
      </c>
      <c r="F40" s="1116" t="s">
        <v>926</v>
      </c>
      <c r="G40" s="408" t="s">
        <v>1649</v>
      </c>
      <c r="O40" s="1075" t="s">
        <v>1438</v>
      </c>
      <c r="AX40" s="1121" t="s">
        <v>1650</v>
      </c>
      <c r="BE40" s="1121">
        <v>2038</v>
      </c>
      <c r="BH40" s="1069" t="s">
        <v>1651</v>
      </c>
      <c r="BJ40" s="1218" t="s">
        <v>1059</v>
      </c>
      <c r="BL40" s="1218" t="s">
        <v>1059</v>
      </c>
      <c r="BN40" s="1069" t="s">
        <v>1093</v>
      </c>
    </row>
    <row customHeight="1" ht="11.25">
      <c r="A41" s="1075" t="s">
        <v>1652</v>
      </c>
      <c r="E41" s="408" t="s">
        <v>1653</v>
      </c>
      <c r="F41" s="1116" t="s">
        <v>1654</v>
      </c>
      <c r="G41" s="408" t="s">
        <v>1653</v>
      </c>
      <c r="O41" s="1075" t="s">
        <v>1454</v>
      </c>
      <c r="AX41" s="1121" t="s">
        <v>1655</v>
      </c>
      <c r="AZ41" s="1068" t="s">
        <v>1656</v>
      </c>
      <c r="BE41" s="1121">
        <v>2039</v>
      </c>
      <c r="BH41" s="1069" t="s">
        <v>1657</v>
      </c>
      <c r="BJ41" s="1218" t="s">
        <v>1055</v>
      </c>
      <c r="BL41" s="1218" t="s">
        <v>1055</v>
      </c>
      <c r="BN41" s="1069" t="s">
        <v>1080</v>
      </c>
    </row>
    <row customHeight="1" ht="11.25">
      <c r="A42" s="1075" t="s">
        <v>1658</v>
      </c>
      <c r="AX42" s="1121" t="s">
        <v>1659</v>
      </c>
      <c r="AZ42" s="1121" t="s">
        <v>1252</v>
      </c>
      <c r="BE42" s="1121">
        <v>2040</v>
      </c>
      <c r="BH42" s="1069" t="s">
        <v>1077</v>
      </c>
      <c r="BJ42" s="1218" t="s">
        <v>1057</v>
      </c>
      <c r="BL42" s="1218" t="s">
        <v>1057</v>
      </c>
      <c r="BN42" s="1069" t="s">
        <v>1660</v>
      </c>
    </row>
    <row customHeight="1" ht="11.25">
      <c r="A43" s="1075" t="s">
        <v>1661</v>
      </c>
      <c r="AX43" s="1121" t="s">
        <v>1662</v>
      </c>
      <c r="AZ43" s="1121" t="s">
        <v>1278</v>
      </c>
      <c r="BE43" s="1121">
        <v>2041</v>
      </c>
      <c r="BH43" s="1069" t="s">
        <v>1663</v>
      </c>
      <c r="BJ43" s="1218" t="s">
        <v>1657</v>
      </c>
      <c r="BL43" s="1218" t="s">
        <v>1657</v>
      </c>
      <c r="BN43" s="1069" t="s">
        <v>1664</v>
      </c>
    </row>
    <row customHeight="1" ht="11.25">
      <c r="A44" s="1075" t="s">
        <v>1665</v>
      </c>
      <c r="G44" s="1095">
        <f>YEAR(TODAY())</f>
        <v>2025</v>
      </c>
      <c r="I44" s="800" t="s">
        <v>1666</v>
      </c>
      <c r="J44" s="1090" t="s">
        <v>1667</v>
      </c>
      <c r="K44" s="1090" t="s">
        <v>1668</v>
      </c>
      <c r="AX44" s="1121" t="s">
        <v>1669</v>
      </c>
      <c r="AZ44" s="1121" t="s">
        <v>1313</v>
      </c>
      <c r="BE44" s="1121">
        <v>2042</v>
      </c>
      <c r="BH44" s="1069" t="s">
        <v>1670</v>
      </c>
      <c r="BJ44" s="1218" t="s">
        <v>1077</v>
      </c>
      <c r="BL44" s="1218" t="s">
        <v>1077</v>
      </c>
      <c r="BN44" s="1069" t="s">
        <v>1671</v>
      </c>
    </row>
    <row customHeight="1" ht="11.25">
      <c r="A45" s="1075" t="s">
        <v>1672</v>
      </c>
      <c r="D45" s="1112" t="s">
        <v>1673</v>
      </c>
      <c r="E45" s="1113" t="s">
        <v>1674</v>
      </c>
      <c r="F45" s="798" t="s">
        <v>1675</v>
      </c>
      <c r="G45" s="797" t="s">
        <v>1676</v>
      </c>
      <c r="H45" s="800" t="s">
        <v>1677</v>
      </c>
      <c r="I45" s="1742">
        <f>INDEX(PeriodIsEmptyList,MATCH(TEMPLATE_GROUP,CodeTemplateList,0),1)</f>
        <v>0</v>
      </c>
      <c r="J45" s="1745" t="str">
        <f>INDEX(NameTemplatesInTitleList,MATCH(TEMPLATE_GROUP,CodeTemplateList,0),1)</f>
        <v>Показатели, подлежащие раскрытию в сфере теплоснабжения (цены и тарифы)</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1678</v>
      </c>
      <c r="AZ45" s="1121" t="s">
        <v>1345</v>
      </c>
      <c r="BE45" s="1121">
        <v>2043</v>
      </c>
      <c r="BH45" s="1069" t="s">
        <v>1679</v>
      </c>
      <c r="BJ45" s="1218" t="s">
        <v>1071</v>
      </c>
      <c r="BL45" s="1218" t="s">
        <v>1071</v>
      </c>
      <c r="BN45" s="1069" t="s">
        <v>1680</v>
      </c>
    </row>
    <row customHeight="1" ht="11.25">
      <c r="A46" s="1075" t="s">
        <v>1681</v>
      </c>
      <c r="E46" s="408" t="s">
        <v>26</v>
      </c>
      <c r="F46" s="1115" t="s">
        <v>1682</v>
      </c>
      <c r="G46" s="1117" t="str">
        <f>_xlfn.IFERROR(IF(TITLE_DATE_FIL="","01.01."&amp;CURRENT_YEAR,"01.01."&amp;YEAR(TITLE_DATE_FIL)),"01.01."&amp;CURRENT_YEAR)</f>
        <v>01.01.2025</v>
      </c>
      <c r="H46" s="1117" t="str">
        <f>_xlfn.IFERROR(IF(TITLE_DATE_FIL="","31.12."&amp;CURRENT_YEAR,"31.12."&amp;YEAR(TITLE_DATE_FIL)),"31.12."&amp;CURRENT_YEAR)</f>
        <v>31.12.2025</v>
      </c>
      <c r="I46" s="1743">
        <f>IF(TITLE_DATE_FIL="",TRUE,FALSE)</f>
        <v>1</v>
      </c>
      <c r="J46" s="1746" t="str">
        <f>"Общая информация о регулируемой организации ("&amp;TEMPLATE_SPHERE_RUS&amp;")"</f>
        <v>Общая информация о регулируемой организации (теплоснабжения)</v>
      </c>
      <c r="K46" s="1747"/>
      <c r="AX46" s="1121" t="s">
        <v>1683</v>
      </c>
      <c r="AZ46" s="1121" t="s">
        <v>1370</v>
      </c>
      <c r="BE46" s="1121">
        <v>2044</v>
      </c>
      <c r="BH46" s="1069" t="s">
        <v>1080</v>
      </c>
      <c r="BJ46" s="1218" t="s">
        <v>1061</v>
      </c>
      <c r="BL46" s="1218" t="s">
        <v>1061</v>
      </c>
      <c r="BN46" s="1069" t="s">
        <v>1684</v>
      </c>
    </row>
    <row customHeight="1" ht="11.25">
      <c r="A47" s="1075" t="s">
        <v>1685</v>
      </c>
      <c r="E47" s="408" t="s">
        <v>33</v>
      </c>
      <c r="F47" s="1116" t="s">
        <v>1686</v>
      </c>
      <c r="G47" s="1117" t="str">
        <f>_xlfn.IFERROR(IF(f_year="","01.01."&amp;CURRENT_YEAR,IF(LEN(f_quart)=0,"01.01."&amp;f_year,IF(f_quart="I квартал","01.01."&amp;f_year,IF(f_quart="II квартал","01.04."&amp;f_year,(IF(f_quart="III квартал","01.07."&amp;f_year,"01.10."&amp;f_year)))))),"01.01."&amp;CURRENT_YEAR)</f>
        <v>01.01.2025</v>
      </c>
      <c r="H47" s="1117" t="str">
        <f>_xlfn.IFERROR(IF(f_year="","31.12."&amp;CURRENT_YEAR,IF(LEN(f_quart)=0,"31.12."&amp;f_year,IF(f_quart="I квартал","31.03."&amp;f_year,IF(f_quart="II квартал","30.06."&amp;f_year,(IF(f_quart="III квартал","30.09."&amp;f_year,"31.12."&amp;f_year)))))),"31.12."&amp;CURRENT_YEAR)</f>
        <v>31.12.2025</v>
      </c>
      <c r="I47" s="1744">
        <f>IF(OR(f_year="",f_quart=""),TRUE,FALSE)</f>
        <v>1</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7"/>
      <c r="AX47" s="1121" t="s">
        <v>1687</v>
      </c>
      <c r="AZ47" s="1121" t="s">
        <v>1389</v>
      </c>
      <c r="BE47" s="1121">
        <v>2045</v>
      </c>
      <c r="BH47" s="1069" t="s">
        <v>1660</v>
      </c>
      <c r="BJ47" s="1218" t="s">
        <v>1063</v>
      </c>
      <c r="BL47" s="1218" t="s">
        <v>1063</v>
      </c>
      <c r="BN47" s="1069" t="s">
        <v>1688</v>
      </c>
    </row>
    <row customHeight="1" ht="11.25">
      <c r="A48" s="1075" t="s">
        <v>1689</v>
      </c>
      <c r="E48" s="408" t="s">
        <v>1690</v>
      </c>
      <c r="F48" s="1116" t="s">
        <v>1691</v>
      </c>
      <c r="G48" s="1117" t="str">
        <f>_xlfn.IFERROR(IF(f_year="","01.01."&amp;CURRENT_YEAR,"01.01."&amp;f_year),"01.01."&amp;CURRENT_YEAR)</f>
        <v>01.01.2025</v>
      </c>
      <c r="H48" s="1117" t="str">
        <f>_xlfn.IFERROR(IF(f_year="","31.12."&amp;CURRENT_YEAR,"31.12."&amp;f_year),"31.12."&amp;CURRENT_YEAR)</f>
        <v>31.12.2025</v>
      </c>
      <c r="I48" s="1743">
        <f>IF(f_year="",TRUE,FALSE)</f>
        <v>1</v>
      </c>
      <c r="J48" s="1746" t="s">
        <v>1692</v>
      </c>
      <c r="K48" s="1747"/>
      <c r="AX48" s="1121" t="s">
        <v>1693</v>
      </c>
      <c r="AZ48" s="1121" t="s">
        <v>1406</v>
      </c>
      <c r="BE48" s="1121">
        <v>2046</v>
      </c>
      <c r="BH48" s="1069" t="s">
        <v>1664</v>
      </c>
      <c r="BJ48" s="1218" t="s">
        <v>1065</v>
      </c>
      <c r="BL48" s="1218" t="s">
        <v>1065</v>
      </c>
      <c r="BN48" s="1069" t="s">
        <v>1694</v>
      </c>
    </row>
    <row customHeight="1" ht="11.25">
      <c r="A49" s="1075" t="s">
        <v>16</v>
      </c>
      <c r="E49" s="408" t="s">
        <v>1695</v>
      </c>
      <c r="F49" s="1116" t="s">
        <v>1696</v>
      </c>
      <c r="G49" s="1117" t="str">
        <f>_xlfn.IFERROR(IF(f_year="","01.01."&amp;CURRENT_YEAR,"01.01."&amp;f_year),"01.01."&amp;CURRENT_YEAR)</f>
        <v>01.01.2025</v>
      </c>
      <c r="H49" s="1117" t="str">
        <f>_xlfn.IFERROR(IF(f_year="","31.12."&amp;CURRENT_YEAR,"31.12."&amp;f_year),"31.12."&amp;CURRENT_YEAR)</f>
        <v>31.12.2025</v>
      </c>
      <c r="I49" s="1743">
        <f>IF(f_year="",TRUE,FALSE)</f>
        <v>1</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7"/>
      <c r="AX49" s="1121" t="s">
        <v>1697</v>
      </c>
      <c r="AZ49" s="1121" t="s">
        <v>1422</v>
      </c>
      <c r="BE49" s="1121">
        <v>2047</v>
      </c>
      <c r="BH49" s="1069" t="s">
        <v>1081</v>
      </c>
      <c r="BJ49" s="1218" t="s">
        <v>1067</v>
      </c>
      <c r="BL49" s="1218" t="s">
        <v>1067</v>
      </c>
    </row>
    <row customHeight="1" ht="11.25">
      <c r="A50" s="1075" t="s">
        <v>1698</v>
      </c>
      <c r="E50" s="408" t="s">
        <v>1699</v>
      </c>
      <c r="F50" s="1116" t="s">
        <v>1051</v>
      </c>
      <c r="G50" s="1117" t="str">
        <f>_xlfn.IFERROR(IF(f_year="","01.01."&amp;CURRENT_YEAR,"01.01."&amp;f_year),"01.01."&amp;CURRENT_YEAR)</f>
        <v>01.01.2025</v>
      </c>
      <c r="H50" s="1117" t="str">
        <f>_xlfn.IFERROR(IF(f_year="","31.12."&amp;CURRENT_YEAR,"31.12."&amp;f_year),"31.12."&amp;CURRENT_YEAR)</f>
        <v>31.12.2025</v>
      </c>
      <c r="I50" s="1743">
        <f>IF(f_year="",TRUE,FALSE)</f>
        <v>1</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7"/>
      <c r="AX50" s="1121" t="s">
        <v>1700</v>
      </c>
      <c r="AZ50" s="1121" t="s">
        <v>1438</v>
      </c>
      <c r="BE50" s="1121">
        <v>2048</v>
      </c>
      <c r="BH50" s="1069" t="s">
        <v>1671</v>
      </c>
      <c r="BJ50" s="1218" t="s">
        <v>1069</v>
      </c>
      <c r="BL50" s="1218" t="s">
        <v>1069</v>
      </c>
    </row>
    <row customHeight="1" ht="11.25">
      <c r="A51" s="1075" t="s">
        <v>1701</v>
      </c>
      <c r="E51" s="408" t="s">
        <v>1702</v>
      </c>
      <c r="F51" s="1116" t="s">
        <v>1703</v>
      </c>
      <c r="G51" s="1117" t="str">
        <f>_xlfn.IFERROR(IF(TITLE_PERIOD_START="","01.01."&amp;CURRENT_YEAR,"01.01."&amp;YEAR(TITLE_PERIOD_START)),"01.01."&amp;CURRENT_YEAR)</f>
        <v>01.01.2025</v>
      </c>
      <c r="H51" s="1117" t="str">
        <f>_xlfn.IFERROR(IF(TITLE_PERIOD_END="","31.12."&amp;CURRENT_YEAR,"31.12."&amp;YEAR(TITLE_PERIOD_END)),"31.12."&amp;CURRENT_YEAR)</f>
        <v>31.12.2025</v>
      </c>
      <c r="I51" s="1744">
        <f>IF(OR(TITLE_PERIOD_START="",TITLE_PERIOD_END=""),TRUE,FALSE)</f>
        <v>0</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1704</v>
      </c>
      <c r="AZ51" s="1121" t="s">
        <v>1454</v>
      </c>
      <c r="BE51" s="1121">
        <v>2049</v>
      </c>
      <c r="BH51" s="1069" t="s">
        <v>1680</v>
      </c>
      <c r="BJ51" s="1218" t="s">
        <v>1705</v>
      </c>
      <c r="BL51" s="1218" t="s">
        <v>1705</v>
      </c>
    </row>
    <row customHeight="1" ht="11.25">
      <c r="A52" s="1075" t="s">
        <v>1706</v>
      </c>
      <c r="E52" s="408" t="s">
        <v>1707</v>
      </c>
      <c r="F52" s="1116" t="s">
        <v>1674</v>
      </c>
      <c r="G52" s="1117" t="str">
        <f>_xlfn.IFERROR(IF(TITLE_PERIOD_START="","01.01."&amp;CURRENT_YEAR,"01.01."&amp;YEAR(TITLE_PERIOD_START)),"01.01."&amp;CURRENT_YEAR)</f>
        <v>01.01.2025</v>
      </c>
      <c r="H52" s="1117" t="str">
        <f>_xlfn.IFERROR(IF(TITLE_PERIOD_END="","31.12."&amp;CURRENT_YEAR,"31.12."&amp;YEAR(TITLE_PERIOD_END)),"31.12."&amp;CURRENT_YEAR)</f>
        <v>31.12.2025</v>
      </c>
      <c r="I52" s="1744">
        <f>IF(OR(TITLE_PERIOD_START="",TITLE_PERIOD_END=""),TRUE,FALSE)</f>
        <v>0</v>
      </c>
      <c r="J52" s="1746" t="str">
        <f>"Показатели, подлежащие раскрытию в сфере "&amp;TEMPLATE_SPHERE_RUS&amp;" (цены и тарифы)"</f>
        <v>Показатели, подлежащие раскрытию в сфере теплоснабжения (цены и тарифы)</v>
      </c>
      <c r="K52" s="1747"/>
      <c r="AX52" s="1121" t="s">
        <v>1708</v>
      </c>
      <c r="AZ52" s="1121" t="s">
        <v>1254</v>
      </c>
      <c r="BE52" s="1121">
        <v>2050</v>
      </c>
      <c r="BH52" s="1069" t="s">
        <v>1684</v>
      </c>
      <c r="BJ52" s="1218" t="s">
        <v>1080</v>
      </c>
      <c r="BL52" s="1218" t="s">
        <v>1080</v>
      </c>
    </row>
    <row customHeight="1" ht="11.25">
      <c r="A53" s="1075" t="s">
        <v>1709</v>
      </c>
      <c r="E53" s="408" t="s">
        <v>1710</v>
      </c>
      <c r="F53" s="1116" t="s">
        <v>1710</v>
      </c>
      <c r="G53" s="1117" t="str">
        <f>_xlfn.IFERROR(IF(f_year="","01.01."&amp;CURRENT_YEAR,"01.01."&amp;f_year),"01.01."&amp;CURRENT_YEAR)</f>
        <v>01.01.2025</v>
      </c>
      <c r="H53" s="1117" t="str">
        <f>_xlfn.IFERROR(IF(f_year="","31.12."&amp;CURRENT_YEAR,"31.12."&amp;f_year),"31.12."&amp;CURRENT_YEAR)</f>
        <v>31.12.2025</v>
      </c>
      <c r="I53" s="1743">
        <f>IF(AND(f_year="",TITLE_DATE_FIL=""),TRUE,FALSE)</f>
        <v>1</v>
      </c>
      <c r="J53" s="1746" t="s">
        <v>1711</v>
      </c>
      <c r="K53" s="1747"/>
      <c r="AX53" s="1121" t="s">
        <v>1712</v>
      </c>
      <c r="BE53" s="1121">
        <v>2051</v>
      </c>
      <c r="BH53" s="1069" t="s">
        <v>1688</v>
      </c>
      <c r="BJ53" s="1218" t="s">
        <v>1660</v>
      </c>
      <c r="BL53" s="1218" t="s">
        <v>1660</v>
      </c>
    </row>
    <row customHeight="1" ht="11.25">
      <c r="A54" s="1075" t="s">
        <v>1713</v>
      </c>
      <c r="AX54" s="1121" t="s">
        <v>1714</v>
      </c>
      <c r="AZ54" s="1068" t="s">
        <v>1715</v>
      </c>
      <c r="BE54" s="1121">
        <v>2052</v>
      </c>
      <c r="BH54" s="1069" t="s">
        <v>1694</v>
      </c>
      <c r="BJ54" s="1218" t="s">
        <v>1664</v>
      </c>
      <c r="BL54" s="1218" t="s">
        <v>1664</v>
      </c>
    </row>
    <row customHeight="1" ht="11.25">
      <c r="A55" s="1075" t="s">
        <v>1716</v>
      </c>
      <c r="AX55" s="1121" t="s">
        <v>1717</v>
      </c>
      <c r="AZ55" s="1121" t="s">
        <v>1256</v>
      </c>
      <c r="BE55" s="1121">
        <v>2053</v>
      </c>
      <c r="BH55" s="1071" t="s">
        <v>28</v>
      </c>
      <c r="BJ55" s="1218" t="s">
        <v>1081</v>
      </c>
      <c r="BL55" s="1218" t="s">
        <v>1081</v>
      </c>
    </row>
    <row customHeight="1" ht="11.25">
      <c r="A56" s="1075" t="s">
        <v>1718</v>
      </c>
      <c r="D56" s="1119" t="s">
        <v>1719</v>
      </c>
      <c r="E56" s="1096" t="s">
        <v>1720</v>
      </c>
      <c r="F56" s="1075" t="s">
        <v>1721</v>
      </c>
      <c r="AX56" s="1121" t="s">
        <v>1722</v>
      </c>
      <c r="AZ56" s="1121" t="s">
        <v>1281</v>
      </c>
      <c r="BE56" s="1121">
        <v>2054</v>
      </c>
      <c r="BH56" s="1071" t="s">
        <v>28</v>
      </c>
      <c r="BJ56" s="1218" t="s">
        <v>1671</v>
      </c>
      <c r="BL56" s="1218" t="s">
        <v>1671</v>
      </c>
    </row>
    <row customHeight="1" ht="11.25">
      <c r="A57" s="1075" t="s">
        <v>1723</v>
      </c>
      <c r="D57" s="1119" t="s">
        <v>1724</v>
      </c>
      <c r="E57" s="1096" t="s">
        <v>125</v>
      </c>
      <c r="F57" s="1075" t="s">
        <v>1721</v>
      </c>
      <c r="AX57" s="1121" t="s">
        <v>1725</v>
      </c>
      <c r="AZ57" s="1121" t="s">
        <v>512</v>
      </c>
      <c r="BE57" s="1121">
        <v>2055</v>
      </c>
      <c r="BJ57" s="1218" t="s">
        <v>1680</v>
      </c>
      <c r="BL57" s="1218" t="s">
        <v>1680</v>
      </c>
    </row>
    <row customHeight="1" ht="11.25">
      <c r="A58" s="1075" t="s">
        <v>1726</v>
      </c>
      <c r="D58" s="1119" t="s">
        <v>1727</v>
      </c>
      <c r="E58" s="1096" t="s">
        <v>125</v>
      </c>
      <c r="F58" s="1075" t="s">
        <v>1721</v>
      </c>
      <c r="AX58" s="1121" t="s">
        <v>1728</v>
      </c>
      <c r="BE58" s="1121">
        <v>2056</v>
      </c>
      <c r="BJ58" s="1218" t="s">
        <v>1684</v>
      </c>
      <c r="BL58" s="1218" t="s">
        <v>1684</v>
      </c>
    </row>
    <row customHeight="1" ht="11.25">
      <c r="A59" s="1075" t="s">
        <v>1729</v>
      </c>
      <c r="D59" s="1119" t="s">
        <v>145</v>
      </c>
      <c r="E59" s="1096" t="s">
        <v>1617</v>
      </c>
      <c r="F59" s="1075" t="s">
        <v>1730</v>
      </c>
      <c r="AX59" s="1121" t="s">
        <v>1731</v>
      </c>
      <c r="AZ59" s="1068" t="s">
        <v>1732</v>
      </c>
      <c r="BE59" s="1121">
        <v>2057</v>
      </c>
      <c r="BJ59" s="1218" t="s">
        <v>1688</v>
      </c>
      <c r="BL59" s="1218" t="s">
        <v>1688</v>
      </c>
    </row>
    <row customHeight="1" ht="11.25">
      <c r="A60" s="1075" t="s">
        <v>1733</v>
      </c>
      <c r="D60" s="1119" t="s">
        <v>1734</v>
      </c>
      <c r="E60" s="1096" t="s">
        <v>1617</v>
      </c>
      <c r="F60" s="1075" t="s">
        <v>1730</v>
      </c>
      <c r="AX60" s="1121" t="s">
        <v>1735</v>
      </c>
      <c r="AZ60" s="1121" t="s">
        <v>513</v>
      </c>
      <c r="BE60" s="1121">
        <v>2058</v>
      </c>
      <c r="BJ60" s="1218" t="s">
        <v>1694</v>
      </c>
      <c r="BL60" s="1218" t="s">
        <v>1694</v>
      </c>
    </row>
    <row customHeight="1" ht="11.25">
      <c r="A61" s="1075" t="s">
        <v>1736</v>
      </c>
      <c r="D61" s="1119" t="s">
        <v>1737</v>
      </c>
      <c r="E61" s="1096" t="s">
        <v>1738</v>
      </c>
      <c r="F61" s="1075" t="s">
        <v>1730</v>
      </c>
      <c r="AX61" s="1121" t="s">
        <v>1739</v>
      </c>
      <c r="AZ61" s="1121" t="s">
        <v>1282</v>
      </c>
      <c r="BE61" s="1121">
        <v>2059</v>
      </c>
      <c r="BL61" s="1218" t="s">
        <v>1073</v>
      </c>
    </row>
    <row customHeight="1" ht="11.25">
      <c r="A62" s="1075" t="s">
        <v>1740</v>
      </c>
      <c r="D62" s="1119" t="s">
        <v>144</v>
      </c>
      <c r="E62" s="1096">
        <v>34</v>
      </c>
      <c r="F62" s="1075" t="s">
        <v>1730</v>
      </c>
      <c r="AZ62" s="1121" t="s">
        <v>1316</v>
      </c>
      <c r="BE62" s="1121">
        <v>2060</v>
      </c>
      <c r="BL62" s="1218" t="s">
        <v>1075</v>
      </c>
    </row>
    <row customHeight="1" ht="11.25">
      <c r="A63" s="1075" t="s">
        <v>1741</v>
      </c>
      <c r="D63" s="1119" t="s">
        <v>1742</v>
      </c>
      <c r="E63" s="1096">
        <v>34</v>
      </c>
      <c r="F63" s="1075" t="s">
        <v>1730</v>
      </c>
      <c r="AZ63" s="1121" t="s">
        <v>1348</v>
      </c>
      <c r="BE63" s="1121">
        <v>2061</v>
      </c>
    </row>
    <row customHeight="1" ht="11.25">
      <c r="A64" s="1075" t="s">
        <v>1743</v>
      </c>
      <c r="D64" s="1119" t="s">
        <v>1744</v>
      </c>
      <c r="E64" s="1096">
        <v>34</v>
      </c>
      <c r="F64" s="1075" t="s">
        <v>1730</v>
      </c>
      <c r="AZ64" s="1121" t="s">
        <v>1371</v>
      </c>
      <c r="BE64" s="1121">
        <v>2062</v>
      </c>
    </row>
    <row customHeight="1" ht="11.25">
      <c r="A65" s="1075" t="s">
        <v>1745</v>
      </c>
      <c r="D65" s="1075"/>
      <c r="BE65" s="1121">
        <v>2063</v>
      </c>
    </row>
    <row customHeight="1" ht="11.25">
      <c r="A66" s="1075" t="s">
        <v>1746</v>
      </c>
      <c r="AZ66" s="1068" t="s">
        <v>1747</v>
      </c>
      <c r="BE66" s="1121">
        <v>2064</v>
      </c>
    </row>
    <row customHeight="1" ht="11.25">
      <c r="A67" s="1075" t="s">
        <v>1748</v>
      </c>
      <c r="AZ67" s="1121" t="s">
        <v>1257</v>
      </c>
      <c r="BE67" s="1121">
        <v>2065</v>
      </c>
    </row>
    <row customHeight="1" ht="11.25">
      <c r="A68" s="1075" t="s">
        <v>1749</v>
      </c>
      <c r="AZ68" s="1121" t="s">
        <v>1283</v>
      </c>
      <c r="BE68" s="1121">
        <v>2066</v>
      </c>
      <c r="BH68" s="1068" t="s">
        <v>1750</v>
      </c>
      <c r="BJ68" s="1068" t="s">
        <v>1751</v>
      </c>
      <c r="BL68" s="1068" t="s">
        <v>1752</v>
      </c>
      <c r="BN68" s="1068" t="s">
        <v>1753</v>
      </c>
    </row>
    <row customHeight="1" ht="11.25">
      <c r="A69" s="1075" t="s">
        <v>1754</v>
      </c>
      <c r="AZ69" s="1121" t="s">
        <v>1317</v>
      </c>
      <c r="BE69" s="1121">
        <v>2067</v>
      </c>
      <c r="BH69" s="1069" t="s">
        <v>1755</v>
      </c>
      <c r="BI69" s="1118" t="s">
        <v>124</v>
      </c>
      <c r="BJ69" s="1069" t="s">
        <v>1756</v>
      </c>
      <c r="BK69" s="1118" t="s">
        <v>124</v>
      </c>
      <c r="BL69" s="1069" t="s">
        <v>1757</v>
      </c>
      <c r="BM69" s="1071" t="s">
        <v>124</v>
      </c>
      <c r="BN69" s="1069" t="s">
        <v>1758</v>
      </c>
    </row>
    <row customHeight="1" ht="11.25">
      <c r="A70" s="1075" t="s">
        <v>1759</v>
      </c>
      <c r="AZ70" s="1121" t="s">
        <v>1349</v>
      </c>
      <c r="BE70" s="1121">
        <v>2068</v>
      </c>
      <c r="BH70" s="1069" t="s">
        <v>1760</v>
      </c>
      <c r="BJ70" s="1069" t="s">
        <v>1761</v>
      </c>
      <c r="BL70" s="1069" t="s">
        <v>1762</v>
      </c>
      <c r="BN70" s="1069" t="s">
        <v>1763</v>
      </c>
    </row>
    <row customHeight="1" ht="11.25">
      <c r="A71" s="1075" t="s">
        <v>1764</v>
      </c>
      <c r="AZ71" s="1121" t="s">
        <v>1351</v>
      </c>
      <c r="BE71" s="1121">
        <v>2069</v>
      </c>
      <c r="BH71" s="1069" t="s">
        <v>1765</v>
      </c>
      <c r="BI71" s="1118" t="s">
        <v>93</v>
      </c>
      <c r="BJ71" s="1069" t="s">
        <v>1766</v>
      </c>
      <c r="BK71" s="1118" t="s">
        <v>93</v>
      </c>
      <c r="BL71" s="1069" t="s">
        <v>1767</v>
      </c>
      <c r="BM71" s="1071" t="s">
        <v>93</v>
      </c>
      <c r="BN71" s="1069" t="s">
        <v>1768</v>
      </c>
    </row>
    <row customHeight="1" ht="11.25">
      <c r="A72" s="1075" t="s">
        <v>1769</v>
      </c>
      <c r="AZ72" s="1121" t="s">
        <v>19</v>
      </c>
      <c r="BE72" s="1121">
        <v>2070</v>
      </c>
      <c r="BH72" s="1069" t="s">
        <v>1770</v>
      </c>
      <c r="BJ72" s="1069" t="s">
        <v>1770</v>
      </c>
      <c r="BL72" s="1069" t="s">
        <v>1770</v>
      </c>
      <c r="BN72" s="1069" t="s">
        <v>1771</v>
      </c>
    </row>
    <row customHeight="1" ht="11.25">
      <c r="A73" s="1075" t="s">
        <v>1772</v>
      </c>
      <c r="BH73" s="1069" t="s">
        <v>1773</v>
      </c>
      <c r="BI73" s="1118" t="s">
        <v>125</v>
      </c>
      <c r="BJ73" s="1069" t="s">
        <v>1774</v>
      </c>
      <c r="BK73" s="1118" t="s">
        <v>125</v>
      </c>
      <c r="BL73" s="1069" t="s">
        <v>1775</v>
      </c>
      <c r="BM73" s="1071" t="s">
        <v>125</v>
      </c>
      <c r="BN73" s="1069" t="s">
        <v>1776</v>
      </c>
    </row>
    <row customHeight="1" ht="11.25">
      <c r="A74" s="1075" t="s">
        <v>1777</v>
      </c>
      <c r="BH74" s="1069" t="s">
        <v>1778</v>
      </c>
      <c r="BJ74" s="1069" t="s">
        <v>1779</v>
      </c>
      <c r="BL74" s="1069" t="s">
        <v>1780</v>
      </c>
      <c r="BN74" s="1069" t="s">
        <v>1781</v>
      </c>
    </row>
    <row customHeight="1" ht="11.25">
      <c r="A75" s="1075" t="s">
        <v>1782</v>
      </c>
      <c r="AZ75" s="1068" t="s">
        <v>1783</v>
      </c>
      <c r="BH75" s="1069" t="s">
        <v>1784</v>
      </c>
      <c r="BJ75" s="1069" t="s">
        <v>1784</v>
      </c>
      <c r="BL75" s="1069" t="s">
        <v>1784</v>
      </c>
    </row>
    <row customHeight="1" ht="11.25">
      <c r="A76" s="1075" t="s">
        <v>1785</v>
      </c>
      <c r="AZ76" s="1121" t="s">
        <v>1266</v>
      </c>
      <c r="BH76" s="1069" t="s">
        <v>1786</v>
      </c>
      <c r="BJ76" s="1069" t="s">
        <v>1787</v>
      </c>
      <c r="BL76" s="1069" t="s">
        <v>1788</v>
      </c>
    </row>
    <row customHeight="1" ht="11.25">
      <c r="A77" s="1075" t="s">
        <v>1789</v>
      </c>
      <c r="AZ77" s="1121" t="s">
        <v>1293</v>
      </c>
    </row>
    <row customHeight="1" ht="11.25">
      <c r="A78" s="1075" t="s">
        <v>1790</v>
      </c>
      <c r="AZ78" s="1121" t="s">
        <v>1324</v>
      </c>
    </row>
    <row customHeight="1" ht="11.25">
      <c r="A79" s="1075" t="s">
        <v>1791</v>
      </c>
      <c r="AZ79" s="1121" t="s">
        <v>1355</v>
      </c>
      <c r="BH79" s="1068" t="s">
        <v>1792</v>
      </c>
      <c r="BJ79" s="1068" t="s">
        <v>1793</v>
      </c>
      <c r="BL79" s="1068" t="s">
        <v>1794</v>
      </c>
    </row>
    <row customHeight="1" ht="11.25">
      <c r="A80" s="1075" t="s">
        <v>1795</v>
      </c>
      <c r="AZ80" s="1121" t="s">
        <v>1376</v>
      </c>
      <c r="BH80" s="1069" t="s">
        <v>1796</v>
      </c>
      <c r="BJ80" s="1069" t="s">
        <v>1797</v>
      </c>
      <c r="BL80" s="1069" t="s">
        <v>1798</v>
      </c>
    </row>
    <row customHeight="1" ht="11.25">
      <c r="A81" s="1075" t="s">
        <v>1799</v>
      </c>
      <c r="AZ81" s="1121" t="s">
        <v>1393</v>
      </c>
      <c r="BH81" s="1069" t="s">
        <v>1800</v>
      </c>
      <c r="BJ81" s="1069" t="s">
        <v>1801</v>
      </c>
      <c r="BL81" s="1069" t="s">
        <v>1802</v>
      </c>
    </row>
    <row customHeight="1" ht="11.25">
      <c r="A82" s="1075" t="s">
        <v>1803</v>
      </c>
      <c r="AZ82" s="1121" t="s">
        <v>1408</v>
      </c>
      <c r="BH82" s="1069" t="s">
        <v>1804</v>
      </c>
      <c r="BJ82" s="1069" t="s">
        <v>1805</v>
      </c>
      <c r="BL82" s="1069" t="s">
        <v>1806</v>
      </c>
    </row>
    <row customHeight="1" ht="11.25">
      <c r="A83" s="1075" t="s">
        <v>1807</v>
      </c>
      <c r="BH83" s="1069" t="s">
        <v>1808</v>
      </c>
      <c r="BJ83" s="1069" t="s">
        <v>1809</v>
      </c>
      <c r="BL83" s="1069" t="s">
        <v>1810</v>
      </c>
    </row>
    <row customHeight="1" ht="11.25">
      <c r="A84" s="1075" t="s">
        <v>1811</v>
      </c>
      <c r="AZ84" s="1068" t="s">
        <v>1812</v>
      </c>
    </row>
    <row customHeight="1" ht="11.25">
      <c r="A85" s="1871" t="s">
        <v>1813</v>
      </c>
      <c r="AZ85" s="1121" t="s">
        <v>1814</v>
      </c>
    </row>
    <row customHeight="1" ht="11.25">
      <c r="A86" s="1075" t="s">
        <v>1815</v>
      </c>
      <c r="AZ86" s="1121" t="s">
        <v>1816</v>
      </c>
      <c r="BH86" s="1068" t="s">
        <v>1817</v>
      </c>
      <c r="BJ86" s="1068" t="s">
        <v>1818</v>
      </c>
      <c r="BL86" s="1068" t="s">
        <v>1819</v>
      </c>
    </row>
    <row customHeight="1" ht="11.25">
      <c r="A87" s="1075" t="s">
        <v>1820</v>
      </c>
      <c r="AZ87" s="1121" t="s">
        <v>1821</v>
      </c>
      <c r="BH87" s="1069" t="s">
        <v>1822</v>
      </c>
      <c r="BJ87" s="1069" t="s">
        <v>1823</v>
      </c>
      <c r="BL87" s="1069" t="s">
        <v>1824</v>
      </c>
    </row>
    <row customHeight="1" ht="11.25">
      <c r="A88" s="1075" t="s">
        <v>1825</v>
      </c>
      <c r="AZ88" s="1607"/>
      <c r="BH88" s="1069" t="s">
        <v>1826</v>
      </c>
      <c r="BJ88" s="1069" t="s">
        <v>1827</v>
      </c>
      <c r="BL88" s="1069" t="s">
        <v>1828</v>
      </c>
    </row>
    <row customHeight="1" ht="11.25">
      <c r="A89" s="1075" t="s">
        <v>1829</v>
      </c>
      <c r="AZ89" s="1068" t="s">
        <v>1830</v>
      </c>
    </row>
    <row customHeight="1" ht="11.25">
      <c r="A90" s="1075" t="s">
        <v>1831</v>
      </c>
      <c r="AZ90" s="1121" t="s">
        <v>1051</v>
      </c>
    </row>
    <row customHeight="1" ht="11.25">
      <c r="A91" s="1075" t="s">
        <v>1832</v>
      </c>
      <c r="AZ91" s="1121" t="s">
        <v>1087</v>
      </c>
      <c r="BH91" s="1068" t="s">
        <v>1833</v>
      </c>
      <c r="BJ91" s="1068" t="s">
        <v>1834</v>
      </c>
      <c r="BL91" s="1068" t="s">
        <v>1835</v>
      </c>
    </row>
    <row customHeight="1" ht="11.25">
      <c r="AZ92" s="1121" t="s">
        <v>1836</v>
      </c>
      <c r="BH92" s="1069" t="s">
        <v>1837</v>
      </c>
      <c r="BJ92" s="1069" t="s">
        <v>1838</v>
      </c>
      <c r="BL92" s="1069" t="s">
        <v>1839</v>
      </c>
    </row>
    <row customHeight="1" ht="11.25">
      <c r="AZ93" s="1121" t="s">
        <v>1840</v>
      </c>
      <c r="BH93" s="1069" t="s">
        <v>1841</v>
      </c>
      <c r="BJ93" s="1069" t="s">
        <v>1842</v>
      </c>
      <c r="BL93" s="1069" t="s">
        <v>1843</v>
      </c>
    </row>
    <row customHeight="1" ht="11.25">
      <c r="AZ94" s="1121" t="s">
        <v>1844</v>
      </c>
    </row>
    <row r="96" customHeight="1" ht="11.25">
      <c r="AZ96" s="1068" t="s">
        <v>1845</v>
      </c>
      <c r="BH96" s="1068" t="s">
        <v>1846</v>
      </c>
      <c r="BJ96" s="1068" t="s">
        <v>1847</v>
      </c>
      <c r="BL96" s="1068" t="s">
        <v>1848</v>
      </c>
      <c r="BN96" s="1068" t="s">
        <v>1849</v>
      </c>
    </row>
    <row customHeight="1" ht="11.25">
      <c r="AZ97" s="1902" t="s">
        <v>1850</v>
      </c>
      <c r="BA97" s="1903" t="s">
        <v>1851</v>
      </c>
      <c r="BH97" s="1069" t="s">
        <v>1852</v>
      </c>
      <c r="BJ97" s="1069" t="s">
        <v>1853</v>
      </c>
      <c r="BL97" s="1069" t="s">
        <v>1854</v>
      </c>
      <c r="BN97" s="1069" t="s">
        <v>1855</v>
      </c>
    </row>
    <row customHeight="1" ht="11.25">
      <c r="AZ98" s="1902" t="s">
        <v>1856</v>
      </c>
      <c r="BA98" s="1903" t="s">
        <v>1857</v>
      </c>
      <c r="BH98" s="1069" t="s">
        <v>1858</v>
      </c>
      <c r="BJ98" s="1069" t="s">
        <v>1859</v>
      </c>
      <c r="BL98" s="1069" t="s">
        <v>1860</v>
      </c>
      <c r="BN98" s="1069" t="s">
        <v>1861</v>
      </c>
    </row>
    <row customHeight="1" ht="22.5">
      <c r="AZ99" s="1902" t="s">
        <v>1862</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1863</v>
      </c>
      <c r="BJ99" s="1069" t="s">
        <v>1864</v>
      </c>
      <c r="BL99" s="1069" t="s">
        <v>1865</v>
      </c>
      <c r="BN99" s="1069" t="s">
        <v>1866</v>
      </c>
    </row>
    <row customHeight="1" ht="22.5">
      <c r="AZ100" s="1902" t="s">
        <v>1867</v>
      </c>
      <c r="BA100"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9" t="s">
        <v>1454</v>
      </c>
      <c r="BL100" s="1069" t="s">
        <v>1454</v>
      </c>
      <c r="BN100" s="1069" t="s">
        <v>1868</v>
      </c>
    </row>
    <row customHeight="1" ht="22.5">
      <c r="AZ101" s="1902" t="s">
        <v>1869</v>
      </c>
      <c r="BA101" s="1903" t="s">
        <v>1870</v>
      </c>
      <c r="BN101" s="1069" t="s">
        <v>1871</v>
      </c>
    </row>
    <row customHeight="1" ht="22.5">
      <c r="AZ102" s="1902" t="s">
        <v>1872</v>
      </c>
      <c r="BA102"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9" t="s">
        <v>1873</v>
      </c>
    </row>
    <row customHeight="1" ht="11.25">
      <c r="AZ103" s="1902" t="s">
        <v>1874</v>
      </c>
      <c r="BA103" s="1903" t="s">
        <v>1875</v>
      </c>
      <c r="BN103" s="1069" t="s">
        <v>1876</v>
      </c>
    </row>
    <row customHeight="1" ht="11.25">
      <c r="BN104" s="1069" t="s">
        <v>1877</v>
      </c>
    </row>
    <row customHeight="1" ht="11.25">
      <c r="AZ105" s="1693" t="s">
        <v>1878</v>
      </c>
    </row>
    <row customHeight="1" ht="11.25">
      <c r="AZ106" s="1121" t="s">
        <v>507</v>
      </c>
    </row>
    <row customHeight="1" ht="11.25">
      <c r="AZ107" s="1121" t="s">
        <v>1879</v>
      </c>
      <c r="BH107" s="1068" t="s">
        <v>1880</v>
      </c>
      <c r="BJ107" s="1068" t="s">
        <v>1881</v>
      </c>
      <c r="BL107" s="1068" t="s">
        <v>1882</v>
      </c>
      <c r="BN107" s="1068" t="s">
        <v>1883</v>
      </c>
    </row>
    <row customHeight="1" ht="11.25">
      <c r="AZ108" s="1121" t="s">
        <v>604</v>
      </c>
      <c r="BH108" s="1069" t="s">
        <v>1884</v>
      </c>
      <c r="BJ108" s="1069" t="s">
        <v>1885</v>
      </c>
      <c r="BL108" s="1069" t="s">
        <v>1539</v>
      </c>
      <c r="BN108" s="1069" t="s">
        <v>1886</v>
      </c>
    </row>
    <row customHeight="1" ht="11.25">
      <c r="BH109" s="1069" t="s">
        <v>1887</v>
      </c>
    </row>
    <row customHeight="1" ht="11.25">
      <c r="AZ110" s="1693" t="s">
        <v>1888</v>
      </c>
      <c r="BH110" s="1069" t="s">
        <v>1887</v>
      </c>
    </row>
    <row customHeight="1" ht="11.25">
      <c r="AZ111" s="1902" t="s">
        <v>1850</v>
      </c>
      <c r="BA111" s="1903" t="s">
        <v>1851</v>
      </c>
    </row>
    <row customHeight="1" ht="11.25">
      <c r="AZ112" s="1902" t="s">
        <v>1856</v>
      </c>
      <c r="BA112" s="1903" t="s">
        <v>1857</v>
      </c>
    </row>
    <row customHeight="1" ht="22.5">
      <c r="AZ113" s="1902" t="s">
        <v>1862</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1867</v>
      </c>
      <c r="BA114"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8" t="s">
        <v>1889</v>
      </c>
    </row>
    <row customHeight="1" ht="22.5">
      <c r="AZ115" s="1902" t="s">
        <v>1872</v>
      </c>
      <c r="BA115"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9" t="s">
        <v>1254</v>
      </c>
    </row>
    <row customHeight="1" ht="11.25">
      <c r="AZ116" s="1902" t="s">
        <v>1874</v>
      </c>
      <c r="BA116" s="1903" t="s">
        <v>1875</v>
      </c>
      <c r="BH116" s="1069" t="s">
        <v>1279</v>
      </c>
    </row>
    <row customHeight="1" ht="11.25">
      <c r="BH117" s="1069" t="s">
        <v>1314</v>
      </c>
    </row>
    <row customHeight="1" ht="11.25">
      <c r="BH118" s="1069" t="s">
        <v>1346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B012D8-8528-9BFF-EB51-B3E7C03BE27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332</v>
      </c>
      <c r="J1" s="456" t="s">
        <v>14</v>
      </c>
    </row>
    <row customHeight="1" ht="22.5" hidden="1">
      <c r="A2" s="503"/>
      <c r="B2" s="503"/>
      <c r="C2" s="1731" t="s">
        <v>108</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0"/>
      <c r="F5" s="2241"/>
      <c r="I5" s="716"/>
      <c r="J5" s="456">
        <v>26</v>
      </c>
    </row>
    <row customHeight="1" ht="18">
      <c r="D6" s="2177" t="str">
        <f>IF(region_name=0,"Не определено",region_name)</f>
        <v>Приморский край</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333</v>
      </c>
      <c r="E9" s="2206"/>
      <c r="F9" s="2206"/>
      <c r="G9" s="2209" t="s">
        <v>334</v>
      </c>
      <c r="J9" s="456">
        <v>11</v>
      </c>
    </row>
    <row customHeight="1" ht="11.549999999999999">
      <c r="A10" s="503"/>
      <c r="B10" s="503"/>
      <c r="C10" s="458"/>
      <c r="D10" s="1475" t="s">
        <v>91</v>
      </c>
      <c r="E10" s="1477" t="s">
        <v>335</v>
      </c>
      <c r="F10" s="1477" t="s">
        <v>336</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9" t="str">
        <f>IF(org="","",org)</f>
        <v>КГУП "Примтеплоэнерго"</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4"/>
      <c r="J12" s="456">
        <v>23</v>
      </c>
    </row>
    <row customHeight="1" ht="19.95">
      <c r="A13" s="503"/>
      <c r="B13" s="503"/>
      <c r="C13" s="458"/>
      <c r="D13" s="1521">
        <v>2</v>
      </c>
      <c r="E13" s="1528" t="s">
        <v>1890</v>
      </c>
      <c r="F13" s="1522" t="s">
        <v>339</v>
      </c>
      <c r="G13" s="475"/>
      <c r="H13" s="1534"/>
      <c r="J13" s="456">
        <v>19</v>
      </c>
    </row>
    <row customHeight="1" ht="19.95">
      <c r="A14" s="503"/>
      <c r="B14" s="503"/>
      <c r="C14" s="458"/>
      <c r="D14" s="1524" t="s">
        <v>741</v>
      </c>
      <c r="E14" s="1525" t="s">
        <v>1891</v>
      </c>
      <c r="F14" s="1527"/>
      <c r="G14" s="1526" t="s">
        <v>1892</v>
      </c>
      <c r="H14" s="1534"/>
      <c r="J14" s="456">
        <v>19</v>
      </c>
    </row>
    <row customHeight="1" ht="19.95">
      <c r="A15" s="503"/>
      <c r="B15" s="503"/>
      <c r="C15" s="458"/>
      <c r="D15" s="1524" t="s">
        <v>340</v>
      </c>
      <c r="E15" s="1525" t="s">
        <v>1893</v>
      </c>
      <c r="F15" s="1527"/>
      <c r="G15" s="1526" t="s">
        <v>1894</v>
      </c>
      <c r="H15" s="1534"/>
      <c r="J15" s="456">
        <v>19</v>
      </c>
    </row>
    <row customHeight="1" ht="24">
      <c r="A16" s="503"/>
      <c r="B16" s="503"/>
      <c r="C16" s="458"/>
      <c r="D16" s="1524" t="s">
        <v>343</v>
      </c>
      <c r="E16" s="1523" t="s">
        <v>1895</v>
      </c>
      <c r="F16" s="1532"/>
      <c r="G16" s="475" t="s">
        <v>1896</v>
      </c>
      <c r="H16" s="1534"/>
      <c r="J16" s="456">
        <v>23</v>
      </c>
    </row>
    <row customHeight="1" ht="48.29999999999999">
      <c r="A17" s="503"/>
      <c r="B17" s="503"/>
      <c r="C17" s="458"/>
      <c r="D17" s="1521">
        <v>3</v>
      </c>
      <c r="E17" s="1528" t="s">
        <v>1897</v>
      </c>
      <c r="F17" s="1527"/>
      <c r="G17" s="475" t="s">
        <v>1898</v>
      </c>
      <c r="H17" s="1534"/>
      <c r="J17" s="456">
        <v>46</v>
      </c>
    </row>
    <row customHeight="1" ht="48.29999999999999">
      <c r="A18" s="1476">
        <v>1</v>
      </c>
      <c r="B18" s="503"/>
      <c r="C18" s="1478"/>
      <c r="D18" s="1521" t="s">
        <v>94</v>
      </c>
      <c r="E18" s="1528" t="s">
        <v>1899</v>
      </c>
      <c r="F18" s="1527"/>
      <c r="G18" s="475" t="s">
        <v>1898</v>
      </c>
      <c r="H18" s="1534"/>
      <c r="I18" s="853"/>
      <c r="J18" s="456">
        <v>46</v>
      </c>
    </row>
    <row customHeight="1" ht="23.25">
      <c r="A19" s="503"/>
      <c r="B19" s="503"/>
      <c r="C19" s="458"/>
      <c r="D19" s="1521" t="s">
        <v>125</v>
      </c>
      <c r="E19" s="1528" t="s">
        <v>1900</v>
      </c>
      <c r="F19" s="1522" t="s">
        <v>339</v>
      </c>
      <c r="G19" s="2472" t="s">
        <v>1901</v>
      </c>
      <c r="H19" s="476"/>
      <c r="J19" s="456">
        <v>22</v>
      </c>
    </row>
    <row s="1531" customFormat="1" customHeight="1" ht="5.25" hidden="1">
      <c r="A20" s="503"/>
      <c r="B20" s="503"/>
      <c r="C20" s="1530"/>
      <c r="D20" s="1529" t="s">
        <v>1148</v>
      </c>
      <c r="E20" s="1015"/>
      <c r="F20" s="1014"/>
      <c r="G20" s="2473"/>
      <c r="J20" s="1531">
        <v>0</v>
      </c>
    </row>
    <row customHeight="1" ht="15.75">
      <c r="A21" s="503"/>
      <c r="B21" s="503"/>
      <c r="C21" s="458"/>
      <c r="D21" s="468"/>
      <c r="E21" s="416" t="s">
        <v>372</v>
      </c>
      <c r="F21" s="470"/>
      <c r="G21" s="2474"/>
      <c r="H21" s="1534"/>
      <c r="J21" s="456">
        <v>15</v>
      </c>
    </row>
    <row s="502" customFormat="1" customHeight="1" ht="26.25">
      <c r="A22" s="503"/>
      <c r="B22" s="503"/>
      <c r="C22" s="503"/>
      <c r="D22" s="1521" t="s">
        <v>95</v>
      </c>
      <c r="E22" s="475" t="s">
        <v>1902</v>
      </c>
      <c r="F22" s="1527"/>
      <c r="G22" s="475" t="s">
        <v>1903</v>
      </c>
      <c r="H22" s="1533"/>
      <c r="J22" s="502">
        <v>25</v>
      </c>
    </row>
    <row s="502" customFormat="1" customHeight="1" ht="19.95">
      <c r="A23" s="503"/>
      <c r="B23" s="503"/>
      <c r="C23" s="503"/>
      <c r="D23" s="1521" t="s">
        <v>96</v>
      </c>
      <c r="E23" s="1528" t="s">
        <v>1904</v>
      </c>
      <c r="F23" s="1532"/>
      <c r="G23" s="475" t="s">
        <v>1905</v>
      </c>
      <c r="H23" s="1533"/>
      <c r="J23" s="502">
        <v>19</v>
      </c>
    </row>
    <row s="502" customFormat="1" customHeight="1" ht="144" hidden="1">
      <c r="A24" s="503"/>
      <c r="B24" s="503"/>
      <c r="C24" s="503"/>
      <c r="D24" s="1521" t="s">
        <v>126</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3"/>
      <c r="J24" s="502">
        <v>0</v>
      </c>
    </row>
    <row customHeight="1" ht="11.25" hidden="1">
      <c r="A25" s="502" t="s">
        <v>85</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64F508-0339-E38F-6DD7-F1809175F0F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1906</v>
      </c>
      <c r="G1" s="1632" t="s">
        <v>51</v>
      </c>
      <c r="H1" s="1632" t="s">
        <v>53</v>
      </c>
      <c r="IU1" s="1156" t="s">
        <v>14</v>
      </c>
    </row>
    <row s="1851" customFormat="1" customHeight="1" ht="22.5" hidden="1">
      <c r="A2" s="832"/>
      <c r="B2" s="1161">
        <v>1</v>
      </c>
      <c r="C2" s="1161"/>
      <c r="D2" s="1929" t="s">
        <v>108</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86</v>
      </c>
      <c r="G3" s="495" t="s">
        <v>87</v>
      </c>
      <c r="H3" s="495"/>
      <c r="I3" s="495"/>
      <c r="J3" s="228" t="s">
        <v>88</v>
      </c>
      <c r="K3" s="248" t="s">
        <v>86</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333</v>
      </c>
      <c r="F7" s="2103"/>
      <c r="G7" s="2103"/>
      <c r="H7" s="2103"/>
      <c r="I7" s="2103"/>
      <c r="J7" s="2475" t="s">
        <v>334</v>
      </c>
      <c r="K7" s="501"/>
      <c r="L7" s="501"/>
      <c r="M7" s="501"/>
      <c r="N7" s="501"/>
      <c r="O7" s="227"/>
      <c r="P7" s="501"/>
      <c r="Q7" s="226"/>
      <c r="R7" s="226"/>
      <c r="S7" s="226"/>
      <c r="T7" s="226"/>
      <c r="IU7" s="508">
        <v>14</v>
      </c>
    </row>
    <row s="1820" customFormat="1" customHeight="1" ht="21">
      <c r="A8" s="1156"/>
      <c r="B8" s="1161"/>
      <c r="C8" s="1156"/>
      <c r="D8" s="1496"/>
      <c r="E8" s="1549" t="s">
        <v>91</v>
      </c>
      <c r="F8" s="1541" t="s">
        <v>1906</v>
      </c>
      <c r="G8" s="1541" t="s">
        <v>51</v>
      </c>
      <c r="H8" s="1541" t="s">
        <v>53</v>
      </c>
      <c r="I8" s="1541" t="s">
        <v>1907</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1908</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85</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37C1A8-1978-3C08-8818-71441E9A041C}"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108</v>
      </c>
      <c r="E2" s="1890"/>
      <c r="F2" s="1893" t="str">
        <f>IF(ROIV_INFO_NAME="","",ROIV_INFO_NAME)</f>
        <v>КГУП "Примтеплоэнерго"</v>
      </c>
      <c r="G2" s="1918" t="s">
        <v>28</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86</v>
      </c>
      <c r="G3" s="1736" t="s">
        <v>87</v>
      </c>
      <c r="H3" s="495"/>
      <c r="I3" s="495"/>
      <c r="J3" s="495"/>
      <c r="K3" s="495"/>
      <c r="L3" s="228" t="s">
        <v>88</v>
      </c>
      <c r="M3" s="248" t="s">
        <v>86</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333</v>
      </c>
      <c r="F7" s="2103"/>
      <c r="G7" s="2103"/>
      <c r="H7" s="2103"/>
      <c r="I7" s="2103"/>
      <c r="J7" s="2103"/>
      <c r="K7" s="2103"/>
      <c r="L7" s="2475" t="s">
        <v>334</v>
      </c>
      <c r="M7" s="501"/>
      <c r="N7" s="501"/>
      <c r="O7" s="501"/>
      <c r="P7" s="501"/>
      <c r="Q7" s="227"/>
      <c r="R7" s="501"/>
      <c r="S7" s="226"/>
      <c r="T7" s="226"/>
      <c r="U7" s="226"/>
      <c r="V7" s="226"/>
      <c r="IW7" s="508">
        <v>14</v>
      </c>
    </row>
    <row s="1820" customFormat="1" customHeight="1" ht="67.2">
      <c r="A8" s="1156"/>
      <c r="B8" s="1161"/>
      <c r="C8" s="1156"/>
      <c r="D8" s="1496"/>
      <c r="E8" s="2479" t="s">
        <v>91</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1909</v>
      </c>
      <c r="H9" s="1538" t="s">
        <v>1910</v>
      </c>
      <c r="I9" s="1538" t="s">
        <v>1911</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КГУП "Примтеплоэнерго"</v>
      </c>
      <c r="G10" s="1733" t="s">
        <v>28</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1912</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85</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442188-EA48-E5E5-1C2B-8E35B430CA7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108</v>
      </c>
      <c r="E2" s="1905"/>
      <c r="F2" s="1907" t="str">
        <f>IF(ROIV_INFO_NAME="","",ROIV_INFO_NAME)</f>
        <v>КГУП "Примтеплоэнерго"</v>
      </c>
      <c r="G2" s="1733" t="s">
        <v>28</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86</v>
      </c>
      <c r="G3" s="1736" t="s">
        <v>87</v>
      </c>
      <c r="H3" s="1894"/>
      <c r="I3" s="1894"/>
      <c r="J3" s="1894"/>
      <c r="K3" s="1894"/>
      <c r="L3" s="228" t="s">
        <v>88</v>
      </c>
      <c r="M3" s="249" t="s">
        <v>86</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333</v>
      </c>
      <c r="F7" s="2103"/>
      <c r="G7" s="2103"/>
      <c r="H7" s="2103"/>
      <c r="I7" s="2103"/>
      <c r="J7" s="2103"/>
      <c r="K7" s="2103"/>
      <c r="L7" s="2475" t="s">
        <v>334</v>
      </c>
      <c r="M7" s="1625"/>
      <c r="N7" s="1625"/>
      <c r="O7" s="1625"/>
      <c r="P7" s="1625"/>
      <c r="Q7" s="1625"/>
      <c r="R7" s="1625"/>
      <c r="S7" s="226"/>
      <c r="T7" s="226"/>
      <c r="U7" s="226"/>
      <c r="V7" s="226"/>
      <c r="IW7" s="1610">
        <v>14</v>
      </c>
    </row>
    <row s="1820" customFormat="1" customHeight="1" ht="67.2">
      <c r="A8" s="1632"/>
      <c r="B8" s="1367"/>
      <c r="C8" s="1632"/>
      <c r="D8" s="1516"/>
      <c r="E8" s="2479" t="s">
        <v>91</v>
      </c>
      <c r="F8" s="2479" t="s">
        <v>1913</v>
      </c>
      <c r="G8" s="2481" t="s">
        <v>1914</v>
      </c>
      <c r="H8" s="2482"/>
      <c r="I8" s="2483"/>
      <c r="J8" s="2479" t="s">
        <v>1915</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1909</v>
      </c>
      <c r="H9" s="1895" t="s">
        <v>1910</v>
      </c>
      <c r="I9" s="1895" t="s">
        <v>1911</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КГУП "Примтеплоэнерго"</v>
      </c>
      <c r="G10" s="1734" t="s">
        <v>28</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1912</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85</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64B7F4-5F35-7B1E-3D28-2675F00C6F7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108</v>
      </c>
      <c r="E2" s="2128">
        <v>1</v>
      </c>
      <c r="F2" s="2304" t="str">
        <f>IF(region_name="","",region_name)</f>
        <v>Приморский край</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1916</v>
      </c>
      <c r="L3" s="1544"/>
      <c r="M3" s="1921"/>
      <c r="N3" s="1914"/>
      <c r="O3" s="1536"/>
      <c r="P3" s="512"/>
      <c r="Q3" s="424">
        <v>0</v>
      </c>
    </row>
    <row s="1643" customFormat="1" customHeight="1" ht="5.25" hidden="1">
      <c r="A4" s="497"/>
      <c r="D4" s="495"/>
      <c r="F4" s="248" t="s">
        <v>86</v>
      </c>
      <c r="G4" s="495" t="s">
        <v>87</v>
      </c>
      <c r="H4" s="495"/>
      <c r="I4" s="1924"/>
      <c r="J4" s="1545"/>
      <c r="K4" s="1912"/>
      <c r="L4" s="1912"/>
      <c r="M4" s="1912"/>
      <c r="N4" s="1908"/>
      <c r="O4" s="248" t="s">
        <v>86</v>
      </c>
      <c r="P4" s="248"/>
      <c r="Q4" s="512">
        <v>0</v>
      </c>
    </row>
    <row s="1851" customFormat="1" customHeight="1" ht="22.5" hidden="1">
      <c r="A5" s="1642"/>
      <c r="B5" s="1367">
        <v>1</v>
      </c>
      <c r="C5" s="1367"/>
      <c r="D5" s="802"/>
      <c r="E5" s="1914"/>
      <c r="F5" s="1914"/>
      <c r="G5" s="1914"/>
      <c r="H5" s="1925"/>
      <c r="I5" s="1930" t="s">
        <v>108</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333</v>
      </c>
      <c r="F10" s="2128"/>
      <c r="G10" s="2128"/>
      <c r="H10" s="2128"/>
      <c r="I10" s="2128"/>
      <c r="J10" s="2128"/>
      <c r="K10" s="2128"/>
      <c r="L10" s="2128"/>
      <c r="M10" s="2102"/>
      <c r="N10" s="2479" t="s">
        <v>334</v>
      </c>
      <c r="O10" s="501"/>
      <c r="P10" s="501"/>
      <c r="Q10" s="508">
        <v>14</v>
      </c>
    </row>
    <row s="1820" customFormat="1" customHeight="1" ht="44.25">
      <c r="A11" s="1632"/>
      <c r="B11" s="1367"/>
      <c r="C11" s="1632"/>
      <c r="D11" s="1516"/>
      <c r="E11" s="2493" t="s">
        <v>91</v>
      </c>
      <c r="F11" s="2493" t="s">
        <v>337</v>
      </c>
      <c r="G11" s="2493" t="s">
        <v>1917</v>
      </c>
      <c r="H11" s="2493"/>
      <c r="I11" s="2493" t="s">
        <v>1918</v>
      </c>
      <c r="J11" s="2493"/>
      <c r="K11" s="2493"/>
      <c r="L11" s="2493" t="s">
        <v>1919</v>
      </c>
      <c r="M11" s="2481" t="s">
        <v>1920</v>
      </c>
      <c r="N11" s="2492"/>
      <c r="O11" s="1625"/>
      <c r="P11" s="1625"/>
      <c r="Q11" s="1610">
        <v>42</v>
      </c>
    </row>
    <row s="1820" customFormat="1" customHeight="1" ht="29.25">
      <c r="A12" s="1156"/>
      <c r="B12" s="1161"/>
      <c r="C12" s="1156"/>
      <c r="D12" s="1496"/>
      <c r="E12" s="2479"/>
      <c r="F12" s="2493"/>
      <c r="G12" s="1910" t="s">
        <v>1921</v>
      </c>
      <c r="H12" s="1910" t="s">
        <v>341</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Приморский край</v>
      </c>
      <c r="G13" s="2488"/>
      <c r="H13" s="2495"/>
      <c r="I13" s="475"/>
      <c r="J13" s="1906">
        <v>1</v>
      </c>
      <c r="K13" s="1919"/>
      <c r="L13" s="1920"/>
      <c r="M13" s="1920"/>
      <c r="N13" s="2489" t="s">
        <v>1922</v>
      </c>
      <c r="O13" s="1536"/>
      <c r="P13" s="512"/>
      <c r="Q13" s="424">
        <v>22</v>
      </c>
    </row>
    <row s="1851" customFormat="1" customHeight="1" ht="23.25">
      <c r="A14" s="2100"/>
      <c r="B14" s="1161"/>
      <c r="C14" s="1161"/>
      <c r="D14" s="802"/>
      <c r="E14" s="2128"/>
      <c r="F14" s="2487"/>
      <c r="G14" s="2488"/>
      <c r="H14" s="2496"/>
      <c r="I14" s="422"/>
      <c r="J14" s="1501"/>
      <c r="K14" s="1501" t="s">
        <v>1916</v>
      </c>
      <c r="L14" s="1544"/>
      <c r="M14" s="1544"/>
      <c r="N14" s="2490"/>
      <c r="O14" s="1536"/>
      <c r="P14" s="512"/>
      <c r="Q14" s="424">
        <v>22</v>
      </c>
    </row>
    <row s="1851" customFormat="1" customHeight="1" ht="23.25">
      <c r="A15" s="2100"/>
      <c r="B15" s="1161"/>
      <c r="C15" s="413"/>
      <c r="D15" s="802"/>
      <c r="E15" s="422"/>
      <c r="F15" s="1501" t="s">
        <v>1908</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85</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5A7CC4-8388-9FAC-5E38-ACFFC7B6877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1923</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333</v>
      </c>
      <c r="E8" s="2210"/>
      <c r="F8" s="2210"/>
      <c r="G8" s="2210"/>
      <c r="H8" s="2210"/>
      <c r="I8" s="2210" t="s">
        <v>334</v>
      </c>
      <c r="M8" s="122">
        <v>14</v>
      </c>
    </row>
    <row customHeight="1" ht="29.25">
      <c r="D9" s="2210" t="s">
        <v>91</v>
      </c>
      <c r="E9" s="2210" t="s">
        <v>1924</v>
      </c>
      <c r="F9" s="2210"/>
      <c r="G9" s="2210"/>
      <c r="H9" s="2210"/>
      <c r="I9" s="2210"/>
      <c r="M9" s="122">
        <v>28</v>
      </c>
    </row>
    <row customHeight="1" ht="24">
      <c r="D10" s="2210"/>
      <c r="E10" s="128" t="s">
        <v>1925</v>
      </c>
      <c r="F10" s="128" t="s">
        <v>1926</v>
      </c>
      <c r="G10" s="128" t="s">
        <v>1927</v>
      </c>
      <c r="H10" s="128" t="s">
        <v>423</v>
      </c>
      <c r="I10" s="2210"/>
      <c r="M10" s="122">
        <v>23</v>
      </c>
    </row>
    <row customHeight="1" ht="12" hidden="1">
      <c r="D11" s="88" t="s">
        <v>124</v>
      </c>
      <c r="E11" s="88" t="s">
        <v>94</v>
      </c>
      <c r="F11" s="88" t="s">
        <v>125</v>
      </c>
      <c r="G11" s="88" t="s">
        <v>95</v>
      </c>
      <c r="H11" s="88" t="s">
        <v>96</v>
      </c>
      <c r="I11" s="88" t="s">
        <v>126</v>
      </c>
      <c r="M11" s="122">
        <v>0</v>
      </c>
    </row>
    <row s="1824" customFormat="1" customHeight="1" ht="26.25">
      <c r="A12" s="146" t="s">
        <v>93</v>
      </c>
      <c r="B12" s="126" t="s">
        <v>28</v>
      </c>
      <c r="C12" s="127"/>
      <c r="D12" s="129" t="s">
        <v>124</v>
      </c>
      <c r="E12" s="382"/>
      <c r="F12" s="382"/>
      <c r="G12" s="1735" t="s">
        <v>28</v>
      </c>
      <c r="H12" s="383"/>
      <c r="I12" s="2170" t="s">
        <v>1928</v>
      </c>
      <c r="K12" s="273"/>
      <c r="L12" s="274"/>
      <c r="M12" s="118">
        <v>25</v>
      </c>
    </row>
    <row customHeight="1" ht="15.75">
      <c r="A13" s="122"/>
      <c r="B13" s="122"/>
      <c r="C13" s="122"/>
      <c r="D13" s="110"/>
      <c r="E13" s="131" t="s">
        <v>497</v>
      </c>
      <c r="F13" s="130"/>
      <c r="G13" s="130"/>
      <c r="H13" s="215"/>
      <c r="I13" s="2172"/>
      <c r="M13" s="122">
        <v>15</v>
      </c>
    </row>
    <row customHeight="1" ht="3">
      <c r="A14" s="122"/>
      <c r="B14" s="122"/>
      <c r="C14" s="122"/>
      <c r="M14" s="122">
        <v>3</v>
      </c>
    </row>
    <row customHeight="1" ht="29.25">
      <c r="E15" s="2497" t="s">
        <v>1929</v>
      </c>
      <c r="F15" s="2497"/>
      <c r="G15" s="2497"/>
      <c r="H15" s="2497"/>
      <c r="M15" s="122">
        <v>28</v>
      </c>
    </row>
    <row customHeight="1" ht="14.25" hidden="1">
      <c r="A16" s="119" t="s">
        <v>85</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3C5F2D-0D48-7F18-8C32-AC81BB584438}" mc:Ignorable="x14ac xr xr2 xr3">
  <sheetPr>
    <tabColor rgb="FFCCCCFF"/>
    <pageSetUpPr fitToPage="1"/>
  </sheetPr>
  <dimension ref="A1:J16"/>
  <sheetViews>
    <sheetView showGridLines="0" zoomScale="90" workbookViewId="0" tabSelected="1">
      <pane xSplit="4" ySplit="11" topLeftCell="E12" activePane="bottomRight" state="frozen"/>
      <selection pane="bottomLeft" activeCell="A12" sqref="A12"/>
      <selection pane="topRight" activeCell="E1" sqref="E1"/>
      <selection pane="bottomRight" activeCell="E13" sqref="E13"/>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1930</v>
      </c>
      <c r="E7" s="2499"/>
      <c r="F7" s="268"/>
      <c r="J7" s="70">
        <v>22</v>
      </c>
    </row>
    <row customHeight="1" ht="3">
      <c r="C8" s="93"/>
      <c r="D8" s="71"/>
      <c r="E8" s="71"/>
      <c r="J8" s="70">
        <v>3</v>
      </c>
    </row>
    <row customHeight="1" ht="16.8">
      <c r="C9" s="93"/>
      <c r="D9" s="106" t="s">
        <v>91</v>
      </c>
      <c r="E9" s="261" t="s">
        <v>1931</v>
      </c>
      <c r="J9" s="70">
        <v>16</v>
      </c>
    </row>
    <row customHeight="1" ht="1.05">
      <c r="C10" s="93"/>
      <c r="D10" s="88"/>
      <c r="E10" s="88"/>
      <c r="J10" s="70">
        <v>1</v>
      </c>
    </row>
    <row customHeight="1" ht="11.25" hidden="1">
      <c r="C11" s="93"/>
      <c r="D11" s="151">
        <v>0</v>
      </c>
      <c r="E11" s="262"/>
      <c r="J11" s="70">
        <v>0</v>
      </c>
    </row>
    <row customHeight="1" ht="15.75">
      <c r="C12" s="137"/>
      <c r="D12" s="114">
        <v>1</v>
      </c>
      <c r="E12" s="378" t="s">
        <v>1932</v>
      </c>
      <c r="J12" s="70">
        <v>15</v>
      </c>
    </row>
    <row customHeight="1" ht="12.75">
      <c r="C13" s="93"/>
      <c r="D13" s="263"/>
      <c r="E13" s="264" t="s">
        <v>1933</v>
      </c>
      <c r="J13" s="70">
        <v>12</v>
      </c>
    </row>
    <row customHeight="1" ht="3">
      <c r="J14" s="70">
        <v>3</v>
      </c>
    </row>
    <row customHeight="1" ht="23.25">
      <c r="C15" s="138"/>
      <c r="D15" s="2500" t="s">
        <v>1934</v>
      </c>
      <c r="E15" s="2500"/>
      <c r="F15" s="139"/>
      <c r="G15" s="139"/>
      <c r="H15" s="139"/>
      <c r="I15" s="139"/>
      <c r="J15" s="70">
        <v>22</v>
      </c>
    </row>
    <row customHeight="1" ht="14.25" hidden="1">
      <c r="A16" s="70" t="s">
        <v>85</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5B16A8-3C18-5482-FFB8-1B893E2611B3}"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1935</v>
      </c>
      <c r="E7" s="2101"/>
      <c r="F7" s="268"/>
      <c r="M7" s="70">
        <v>22</v>
      </c>
    </row>
    <row customHeight="1" ht="3">
      <c r="C8" s="93"/>
      <c r="D8" s="71"/>
      <c r="E8" s="71"/>
      <c r="M8" s="70">
        <v>3</v>
      </c>
    </row>
    <row customHeight="1" ht="16.8">
      <c r="C9" s="93"/>
      <c r="D9" s="106" t="s">
        <v>91</v>
      </c>
      <c r="E9" s="109" t="s">
        <v>320</v>
      </c>
      <c r="M9" s="70">
        <v>16</v>
      </c>
    </row>
    <row customHeight="1" ht="12.75">
      <c r="C10" s="93"/>
      <c r="D10" s="88" t="s">
        <v>124</v>
      </c>
      <c r="E10" s="88" t="s">
        <v>107</v>
      </c>
      <c r="M10" s="70">
        <v>12</v>
      </c>
    </row>
    <row customHeight="1" ht="15" hidden="1">
      <c r="C11" s="93"/>
      <c r="D11" s="114">
        <v>0</v>
      </c>
      <c r="E11" s="150"/>
      <c r="M11" s="70">
        <v>0</v>
      </c>
    </row>
    <row customHeight="1" ht="14.699999999999998">
      <c r="C12" s="93"/>
      <c r="D12" s="110"/>
      <c r="E12" s="108" t="s">
        <v>1933</v>
      </c>
      <c r="M12" s="70">
        <v>14</v>
      </c>
    </row>
    <row customHeight="1" ht="14.25" hidden="1">
      <c r="A13" s="70" t="s">
        <v>85</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0586DF-21F8-D77E-CF21-F78ECED29FD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1936</v>
      </c>
      <c r="C2" s="2501"/>
      <c r="D2" s="2501"/>
      <c r="E2" s="269"/>
      <c r="F2" s="90">
        <v>22</v>
      </c>
    </row>
    <row customHeight="1" ht="3">
      <c r="F3" s="90">
        <v>3</v>
      </c>
    </row>
    <row customHeight="1" ht="23.25">
      <c r="B4" s="2615" t="s">
        <v>1937</v>
      </c>
      <c r="C4" s="384" t="s">
        <v>1938</v>
      </c>
      <c r="D4" s="384" t="s">
        <v>1939</v>
      </c>
      <c r="F4" s="90">
        <v>22</v>
      </c>
    </row>
    <row customHeight="1" ht="11.25" hidden="1">
      <c r="A5" s="90" t="s">
        <v>85</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D7C653-D1D8-0768-1411-5A4E493950A7}"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1940</v>
      </c>
    </row>
    <row r="4" s="265" customFormat="1" customHeight="1" ht="15">
      <c r="C4" s="1817"/>
      <c r="D4" s="114"/>
      <c r="E4" s="378"/>
    </row>
    <row r="6" s="1816" customFormat="1" customHeight="1" ht="17.25">
      <c r="A6" s="1816" t="s">
        <v>1941</v>
      </c>
    </row>
    <row r="8" s="265" customFormat="1" customHeight="1" ht="17.25">
      <c r="C8" s="1818"/>
      <c r="D8" s="114"/>
      <c r="E8" s="115"/>
    </row>
    <row r="11" s="1816" customFormat="1" customHeight="1" ht="17.25">
      <c r="A11" s="1816" t="s">
        <v>1942</v>
      </c>
    </row>
    <row r="13" s="1820" customFormat="1" customHeight="1" ht="15">
      <c r="A13" s="2218">
        <v>1</v>
      </c>
      <c r="B13" s="1161"/>
      <c r="C13" s="802" t="s">
        <v>108</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106</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1943</v>
      </c>
    </row>
    <row r="19" s="1851" customFormat="1" customHeight="1" ht="15">
      <c r="A19" s="1883"/>
      <c r="B19" s="1367">
        <v>1</v>
      </c>
      <c r="C19" s="1367"/>
      <c r="D19" s="801" t="s">
        <v>108</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1944</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108</v>
      </c>
      <c r="D23" s="2109" t="s">
        <v>124</v>
      </c>
      <c r="E23" s="2110"/>
      <c r="F23" s="2108" t="s">
        <v>19</v>
      </c>
      <c r="G23" s="2558"/>
      <c r="H23" s="2128">
        <v>1</v>
      </c>
      <c r="I23" s="2560" t="str">
        <f>IF(U23="","",INDEX(TERRITORY_MR_LIST,MATCH(U23,TERRITORY_LIST_ID,0)))</f>
        <v/>
      </c>
      <c r="J23" s="2108" t="s">
        <v>19</v>
      </c>
      <c r="K23" s="833"/>
      <c r="L23" s="1783" t="s">
        <v>124</v>
      </c>
      <c r="M23" s="604"/>
      <c r="N23" s="605"/>
      <c r="O23" s="605"/>
      <c r="P23" s="605"/>
      <c r="Q23" s="605"/>
      <c r="R23" s="605"/>
      <c r="S23" s="605"/>
      <c r="T23" s="605"/>
      <c r="U23" s="606"/>
      <c r="V23" s="605"/>
      <c r="W23" s="605"/>
      <c r="X23" s="596"/>
      <c r="Y23" s="596" t="s">
        <v>132</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133</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134</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1945</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108</v>
      </c>
      <c r="H29" s="2104">
        <v>1</v>
      </c>
      <c r="I29" s="2563" t="str">
        <f>IF(U29="","",INDEX(TERRITORY_MR_LIST,MATCH(U29,TERRITORY_LIST_ID,0)))</f>
        <v/>
      </c>
      <c r="J29" s="2108" t="s">
        <v>19</v>
      </c>
      <c r="K29" s="833"/>
      <c r="L29" s="1783" t="s">
        <v>124</v>
      </c>
      <c r="M29" s="604"/>
      <c r="N29" s="605"/>
      <c r="O29" s="605"/>
      <c r="P29" s="605"/>
      <c r="Q29" s="605"/>
      <c r="R29" s="605"/>
      <c r="S29" s="605"/>
      <c r="T29" s="605"/>
      <c r="U29" s="606"/>
      <c r="V29" s="605"/>
      <c r="W29" s="605"/>
      <c r="X29" s="596"/>
      <c r="Y29" s="596" t="s">
        <v>132</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133</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1946</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108</v>
      </c>
      <c r="L34" s="1730" t="s">
        <v>124</v>
      </c>
      <c r="M34" s="812"/>
      <c r="N34" s="813"/>
      <c r="O34" s="605"/>
      <c r="P34" s="605"/>
      <c r="Q34" s="605"/>
      <c r="R34" s="605"/>
      <c r="S34" s="605"/>
      <c r="T34" s="605"/>
      <c r="U34" s="606"/>
      <c r="V34" s="605"/>
      <c r="W34" s="605"/>
      <c r="X34" s="596"/>
      <c r="Y34" s="596" t="s">
        <v>132</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1947</v>
      </c>
    </row>
    <row customHeight="1" ht="11.25"/>
    <row s="456" customFormat="1" customHeight="1" ht="22.5">
      <c r="A39" s="1792"/>
      <c r="B39" s="458"/>
      <c r="C39" s="860"/>
      <c r="D39" s="441"/>
      <c r="E39" s="861"/>
      <c r="F39" s="1813"/>
      <c r="G39" s="1823"/>
      <c r="H39" s="476"/>
    </row>
    <row customHeight="1" ht="11.25"/>
    <row s="1816" customFormat="1" customHeight="1" ht="11.25">
      <c r="A41" s="1816" t="s">
        <v>1948</v>
      </c>
    </row>
    <row customHeight="1" ht="11.25"/>
    <row s="456" customFormat="1" customHeight="1" ht="22.5">
      <c r="A43" s="458"/>
      <c r="B43" s="458"/>
      <c r="C43" s="458"/>
      <c r="D43" s="441"/>
      <c r="E43" s="861"/>
      <c r="F43" s="862"/>
      <c r="G43" s="1823"/>
      <c r="H43" s="476"/>
    </row>
    <row customHeight="1" ht="11.25"/>
    <row s="1816" customFormat="1" customHeight="1" ht="11.25">
      <c r="A45" s="1816" t="s">
        <v>1949</v>
      </c>
    </row>
    <row customHeight="1" ht="11.25"/>
    <row s="456" customFormat="1" customHeight="1" ht="24">
      <c r="A47" s="2203" t="s">
        <v>346</v>
      </c>
      <c r="B47" s="503"/>
      <c r="C47" s="2214"/>
      <c r="D47" s="446" t="str">
        <f>A47</f>
        <v>5.1</v>
      </c>
      <c r="E47" s="443" t="s">
        <v>347</v>
      </c>
      <c r="F47" s="1977" t="s">
        <v>339</v>
      </c>
      <c r="G47" s="445" t="s">
        <v>348</v>
      </c>
      <c r="H47" s="476"/>
      <c r="I47" s="853"/>
    </row>
    <row s="456" customFormat="1" customHeight="1" ht="22.5">
      <c r="A48" s="2203"/>
      <c r="B48" s="503"/>
      <c r="C48" s="2214"/>
      <c r="D48" s="441" t="str">
        <f>D47&amp;".1"</f>
        <v>5.1.1</v>
      </c>
      <c r="E48" s="440" t="s">
        <v>349</v>
      </c>
      <c r="F48" s="1978" t="s">
        <v>28</v>
      </c>
      <c r="G48" s="475"/>
      <c r="H48" s="476"/>
      <c r="I48" s="853"/>
    </row>
    <row s="456" customFormat="1" customHeight="1" ht="22.5">
      <c r="A49" s="2203"/>
      <c r="B49" s="503"/>
      <c r="C49" s="2214"/>
      <c r="D49" s="441" t="str">
        <f>D47&amp;".2"</f>
        <v>5.1.2</v>
      </c>
      <c r="E49" s="440" t="s">
        <v>350</v>
      </c>
      <c r="F49" s="1733" t="s">
        <v>28</v>
      </c>
      <c r="G49" s="445" t="s">
        <v>351</v>
      </c>
      <c r="H49" s="476"/>
      <c r="I49" s="853"/>
    </row>
    <row s="456" customFormat="1" customHeight="1" ht="22.5">
      <c r="A50" s="2203"/>
      <c r="B50" s="503"/>
      <c r="C50" s="2214"/>
      <c r="D50" s="441" t="str">
        <f>D47&amp;".3"</f>
        <v>5.1.3</v>
      </c>
      <c r="E50" s="440" t="s">
        <v>352</v>
      </c>
      <c r="F50" s="1978" t="s">
        <v>28</v>
      </c>
      <c r="G50" s="475"/>
      <c r="H50" s="476"/>
      <c r="I50" s="853"/>
    </row>
    <row s="456" customFormat="1" customHeight="1" ht="22.5">
      <c r="A51" s="2203"/>
      <c r="B51" s="503"/>
      <c r="C51" s="2214"/>
      <c r="D51" s="441" t="str">
        <f>D47&amp;".4"</f>
        <v>5.1.4</v>
      </c>
      <c r="E51" s="440" t="s">
        <v>353</v>
      </c>
      <c r="F51" s="1978" t="s">
        <v>28</v>
      </c>
      <c r="G51" s="445" t="s">
        <v>354</v>
      </c>
      <c r="H51" s="476"/>
      <c r="I51" s="853"/>
    </row>
    <row r="54" s="1816" customFormat="1" customHeight="1" ht="17.25">
      <c r="A54" s="1816" t="s">
        <v>1950</v>
      </c>
    </row>
    <row r="56" s="1613" customFormat="1" customHeight="1" ht="18.75">
      <c r="A56" s="90"/>
      <c r="B56" s="1824"/>
      <c r="C56" s="1824"/>
      <c r="D56" s="1825"/>
      <c r="E56" s="1810"/>
      <c r="F56" s="869">
        <v>13</v>
      </c>
      <c r="G56" s="868"/>
      <c r="H56" s="794"/>
      <c r="I56" s="792"/>
      <c r="J56" s="521" t="s">
        <v>64</v>
      </c>
      <c r="K56" s="1826" t="s">
        <v>28</v>
      </c>
      <c r="L56" s="90"/>
      <c r="M56" s="1637"/>
      <c r="N56" s="1637"/>
      <c r="O56" s="1637"/>
      <c r="P56" s="517" t="s">
        <v>425</v>
      </c>
      <c r="Q56" s="517" t="s">
        <v>426</v>
      </c>
      <c r="R56" s="518" t="s">
        <v>427</v>
      </c>
      <c r="S56" s="1637" t="s">
        <v>428</v>
      </c>
      <c r="T56" s="1637"/>
      <c r="U56" s="1637"/>
      <c r="V56" s="1637"/>
    </row>
    <row r="58" s="1816" customFormat="1" customHeight="1" ht="11.25">
      <c r="A58" s="1816" t="s">
        <v>1951</v>
      </c>
    </row>
    <row r="60" s="1636" customFormat="1" customHeight="1" ht="14.25">
      <c r="C60" s="1689"/>
      <c r="D60" s="1870"/>
      <c r="E60" s="1778" t="s">
        <v>28</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414</v>
      </c>
      <c r="AQ60" s="1625" t="s">
        <v>414</v>
      </c>
      <c r="AR60" s="1637"/>
      <c r="AS60" s="1637"/>
    </row>
    <row r="62" s="1816" customFormat="1" customHeight="1" ht="11.25">
      <c r="A62" s="1816" t="s">
        <v>1952</v>
      </c>
    </row>
    <row r="64" s="1824" customFormat="1" customHeight="1" ht="15">
      <c r="A64" s="146" t="s">
        <v>93</v>
      </c>
      <c r="B64" s="126" t="s">
        <v>28</v>
      </c>
      <c r="C64" s="1827"/>
      <c r="D64" s="129"/>
      <c r="E64" s="382"/>
      <c r="F64" s="382"/>
      <c r="G64" s="1804"/>
      <c r="H64" s="1826"/>
      <c r="I64" s="1805"/>
      <c r="K64" s="273"/>
      <c r="L64" s="274"/>
    </row>
    <row r="66" s="1816" customFormat="1" customHeight="1" ht="11.25">
      <c r="A66" s="1816" t="s">
        <v>1953</v>
      </c>
    </row>
    <row r="68" s="1636" customFormat="1" customHeight="1" ht="14.25">
      <c r="A68" s="344"/>
      <c r="B68" s="1161"/>
      <c r="C68" s="377"/>
      <c r="D68" s="1811"/>
      <c r="E68" s="887"/>
      <c r="F68" s="1826"/>
      <c r="G68" s="90"/>
      <c r="I68" s="1625"/>
      <c r="J68" s="1625"/>
    </row>
    <row r="70" s="1816" customFormat="1" customHeight="1" ht="11.25">
      <c r="A70" s="1816" t="s">
        <v>1954</v>
      </c>
    </row>
    <row r="72" s="1636" customFormat="1" customHeight="1" ht="27">
      <c r="A72" s="1167"/>
      <c r="B72" s="1167"/>
      <c r="C72" s="1167"/>
      <c r="D72" s="1161"/>
      <c r="E72" s="1828"/>
      <c r="F72" s="2582"/>
      <c r="G72" s="2583"/>
      <c r="H72" s="2584" t="s">
        <v>64</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64</v>
      </c>
      <c r="Z72" s="1809"/>
      <c r="AA72" s="1793">
        <v>1</v>
      </c>
      <c r="AB72" s="1243"/>
      <c r="AD72" s="1637" t="s">
        <v>1955</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1956</v>
      </c>
    </row>
    <row r="75" s="1816" customFormat="1" customHeight="1" ht="11.25">
      <c r="A75" s="1816" t="s">
        <v>1957</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1955</v>
      </c>
    </row>
    <row r="79" s="1816" customFormat="1" customHeight="1" ht="11.25">
      <c r="A79" s="1816" t="s">
        <v>1958</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409</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1959</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1960</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28</v>
      </c>
      <c r="R91" s="2514" t="s">
        <v>28</v>
      </c>
      <c r="S91" s="2514" t="s">
        <v>28</v>
      </c>
      <c r="T91" s="2514" t="s">
        <v>28</v>
      </c>
      <c r="U91" s="2514" t="s">
        <v>28</v>
      </c>
      <c r="V91" s="2514" t="s">
        <v>28</v>
      </c>
      <c r="W91" s="2514" t="s">
        <v>28</v>
      </c>
      <c r="X91" s="2514" t="s">
        <v>28</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1961</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1962</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1963</v>
      </c>
    </row>
    <row r="101" s="1636" customFormat="1" customHeight="1" ht="11.25">
      <c r="A101" s="1167"/>
      <c r="B101" s="1167"/>
      <c r="C101" s="1167"/>
      <c r="D101" s="1161"/>
      <c r="E101" s="1171"/>
      <c r="F101" s="1830"/>
      <c r="G101" s="1831"/>
      <c r="H101" s="2516" t="s">
        <v>124</v>
      </c>
      <c r="I101" s="2517"/>
      <c r="J101" s="2486"/>
      <c r="K101" s="2518"/>
      <c r="L101" s="2108" t="s">
        <v>19</v>
      </c>
      <c r="M101" s="2109"/>
      <c r="N101" s="1987"/>
      <c r="O101" s="1178" t="s">
        <v>409</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28</v>
      </c>
      <c r="R102" s="2514" t="s">
        <v>28</v>
      </c>
      <c r="S102" s="2514" t="s">
        <v>28</v>
      </c>
      <c r="T102" s="2514" t="s">
        <v>28</v>
      </c>
      <c r="U102" s="2514" t="s">
        <v>28</v>
      </c>
      <c r="V102" s="2514" t="s">
        <v>28</v>
      </c>
      <c r="W102" s="2514" t="s">
        <v>28</v>
      </c>
      <c r="X102" s="2514" t="s">
        <v>28</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1961</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1964</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1965</v>
      </c>
    </row>
    <row customHeight="1" ht="17.25"/>
    <row s="926" customFormat="1" customHeight="1" ht="21">
      <c r="A109" s="1168"/>
      <c r="B109" s="941"/>
      <c r="D109" s="925"/>
      <c r="E109" s="940" t="s">
        <v>28</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1966</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1967</v>
      </c>
    </row>
    <row r="115" s="1851" customFormat="1" customHeight="1" ht="15">
      <c r="A115" s="624"/>
      <c r="B115" s="625"/>
      <c r="C115" s="625"/>
      <c r="D115" s="2579" t="s">
        <v>124</v>
      </c>
      <c r="E115" s="2378" t="s">
        <v>120</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28</v>
      </c>
      <c r="AF115" s="631"/>
      <c r="AG115" s="632" t="s">
        <v>642</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597</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598</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643</v>
      </c>
      <c r="F118" s="2377"/>
      <c r="G118" s="2377"/>
      <c r="H118" s="2377"/>
      <c r="I118" s="2377"/>
      <c r="J118" s="2377"/>
      <c r="K118" s="2377"/>
      <c r="L118" s="2377"/>
      <c r="M118" s="2377"/>
      <c r="N118" s="2377"/>
      <c r="O118" s="2377"/>
      <c r="P118" s="2377"/>
      <c r="Q118" s="559">
        <f>SUMIF(T119:T120,"i",Q119:Q120)</f>
        <v>0</v>
      </c>
      <c r="R118" s="1018"/>
      <c r="S118" s="1799" t="s">
        <v>644</v>
      </c>
      <c r="T118" s="718" t="s">
        <v>645</v>
      </c>
      <c r="U118" s="2375">
        <v>1</v>
      </c>
      <c r="V118" s="2375" t="s">
        <v>608</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28</v>
      </c>
      <c r="F120" s="1169" t="s">
        <v>28</v>
      </c>
      <c r="G120" s="1169" t="s">
        <v>1968</v>
      </c>
      <c r="H120" s="652" t="s">
        <v>28</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646</v>
      </c>
      <c r="F121" s="2377"/>
      <c r="G121" s="2377"/>
      <c r="H121" s="2377"/>
      <c r="I121" s="2377"/>
      <c r="J121" s="2377"/>
      <c r="K121" s="2377"/>
      <c r="L121" s="2377"/>
      <c r="M121" s="2377"/>
      <c r="N121" s="2377"/>
      <c r="O121" s="2377"/>
      <c r="P121" s="2377"/>
      <c r="Q121" s="559">
        <f>SUMIF(T122:T123,"i",Q122:Q123)</f>
        <v>0</v>
      </c>
      <c r="R121" s="1018"/>
      <c r="S121" s="1799" t="s">
        <v>647</v>
      </c>
      <c r="T121" s="718" t="s">
        <v>645</v>
      </c>
      <c r="U121" s="2375">
        <v>1</v>
      </c>
      <c r="V121" s="2375" t="s">
        <v>608</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28</v>
      </c>
      <c r="F123" s="1169" t="s">
        <v>28</v>
      </c>
      <c r="G123" s="1169" t="s">
        <v>1968</v>
      </c>
      <c r="H123" s="652" t="s">
        <v>28</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1969</v>
      </c>
    </row>
    <row r="127" s="1851" customFormat="1" customHeight="1" ht="15">
      <c r="A127" s="624"/>
      <c r="B127" s="625"/>
      <c r="C127" s="625"/>
      <c r="D127" s="2579" t="s">
        <v>124</v>
      </c>
      <c r="E127" s="2378" t="s">
        <v>120</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28</v>
      </c>
      <c r="AF127" s="631"/>
      <c r="AG127" s="632" t="s">
        <v>642</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597</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598</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643</v>
      </c>
      <c r="F130" s="2377"/>
      <c r="G130" s="2377"/>
      <c r="H130" s="2377"/>
      <c r="I130" s="2377"/>
      <c r="J130" s="2377"/>
      <c r="K130" s="2377"/>
      <c r="L130" s="2377"/>
      <c r="M130" s="2377"/>
      <c r="N130" s="2377"/>
      <c r="O130" s="2377"/>
      <c r="P130" s="2377"/>
      <c r="Q130" s="559">
        <f>SUMIF(T131:T132,"i",Q131:Q132)</f>
        <v>0</v>
      </c>
      <c r="R130" s="1018"/>
      <c r="S130" s="1799" t="s">
        <v>644</v>
      </c>
      <c r="T130" s="718" t="s">
        <v>645</v>
      </c>
      <c r="U130" s="2375">
        <v>1</v>
      </c>
      <c r="V130" s="2375" t="s">
        <v>608</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28</v>
      </c>
      <c r="F132" s="1169" t="s">
        <v>28</v>
      </c>
      <c r="G132" s="1169" t="s">
        <v>1968</v>
      </c>
      <c r="H132" s="652" t="s">
        <v>28</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645</v>
      </c>
      <c r="U133" s="2375">
        <v>1</v>
      </c>
      <c r="V133" s="2375" t="s">
        <v>608</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1970</v>
      </c>
    </row>
    <row r="139" s="1851" customFormat="1" customHeight="1" ht="45">
      <c r="A139" s="1807"/>
      <c r="B139" s="1161"/>
      <c r="C139" s="413"/>
      <c r="D139" s="90"/>
      <c r="E139" s="2573"/>
      <c r="F139" s="2109" t="s">
        <v>124</v>
      </c>
      <c r="G139" s="2576" t="s">
        <v>28</v>
      </c>
      <c r="H139" s="290"/>
      <c r="I139" s="638" t="s">
        <v>124</v>
      </c>
      <c r="J139" s="1808" t="s">
        <v>1971</v>
      </c>
      <c r="K139" s="639" t="s">
        <v>579</v>
      </c>
      <c r="L139" s="2225" t="s">
        <v>579</v>
      </c>
      <c r="M139" s="2578"/>
      <c r="N139" s="639" t="s">
        <v>579</v>
      </c>
      <c r="O139" s="639" t="s">
        <v>579</v>
      </c>
      <c r="P139" s="639" t="s">
        <v>579</v>
      </c>
      <c r="Q139" s="640">
        <f>SUM(Q140:Q142)</f>
        <v>0</v>
      </c>
      <c r="R139" s="640">
        <f>IF(R136=0,0,(Q136/R136)*100)</f>
        <v>0</v>
      </c>
      <c r="S139" s="2180"/>
      <c r="T139" s="718" t="s">
        <v>645</v>
      </c>
      <c r="U139" s="90"/>
      <c r="V139" s="90"/>
      <c r="AC139" s="90"/>
    </row>
    <row s="1851" customFormat="1" customHeight="1" ht="11.25">
      <c r="A140" s="1807"/>
      <c r="B140" s="1161"/>
      <c r="C140" s="413"/>
      <c r="D140" s="90"/>
      <c r="E140" s="2574"/>
      <c r="F140" s="2109"/>
      <c r="G140" s="2576"/>
      <c r="H140" s="2128"/>
      <c r="I140" s="2516" t="s">
        <v>1054</v>
      </c>
      <c r="J140" s="2570"/>
      <c r="K140" s="2571"/>
      <c r="L140" s="641"/>
      <c r="M140" s="642" t="s">
        <v>124</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1972</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28</v>
      </c>
      <c r="I142" s="647"/>
      <c r="J142" s="648" t="s">
        <v>1973</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1054</v>
      </c>
      <c r="J147" s="2570"/>
      <c r="K147" s="2571"/>
      <c r="L147" s="641"/>
      <c r="M147" s="642" t="s">
        <v>124</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1972</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124</v>
      </c>
      <c r="N150" s="1796"/>
      <c r="O150" s="643"/>
      <c r="P150" s="644"/>
      <c r="Q150" s="643"/>
      <c r="R150" s="645">
        <v>0</v>
      </c>
      <c r="S150" s="90"/>
      <c r="T150" s="718"/>
      <c r="U150" s="90"/>
      <c r="V150" s="90"/>
      <c r="AC150" s="90"/>
    </row>
    <row r="152" s="1816" customFormat="1" customHeight="1" ht="17.25">
      <c r="A152" s="1816" t="s">
        <v>1974</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64</v>
      </c>
      <c r="L154" s="2109"/>
      <c r="M154" s="2109" t="s">
        <v>124</v>
      </c>
      <c r="N154" s="2505" t="str">
        <f>IF(Z154="","",INDEX(TERRITORY_MR_LIST,MATCH(Z154,TERRITORY_LIST_ID,0)))</f>
        <v/>
      </c>
      <c r="O154" s="2186" t="s">
        <v>64</v>
      </c>
      <c r="P154" s="2109"/>
      <c r="Q154" s="2109" t="s">
        <v>124</v>
      </c>
      <c r="R154" s="2503" t="s">
        <v>28</v>
      </c>
      <c r="S154" s="2108" t="s">
        <v>64</v>
      </c>
      <c r="T154" s="1812"/>
      <c r="U154" s="1812" t="s">
        <v>124</v>
      </c>
      <c r="V154" s="1844" t="s">
        <v>28</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218</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219</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227</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236</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64</v>
      </c>
      <c r="L160" s="2109"/>
      <c r="M160" s="2109" t="s">
        <v>124</v>
      </c>
      <c r="N160" s="2505" t="str">
        <f>IF(Z160="","",INDEX(TERRITORY_MR_LIST,MATCH(Z160,TERRITORY_LIST_ID,0)))</f>
        <v/>
      </c>
      <c r="O160" s="2186" t="s">
        <v>64</v>
      </c>
      <c r="P160" s="2109"/>
      <c r="Q160" s="2109" t="s">
        <v>124</v>
      </c>
      <c r="R160" s="2503" t="s">
        <v>28</v>
      </c>
      <c r="S160" s="2108" t="s">
        <v>64</v>
      </c>
      <c r="T160" s="1812"/>
      <c r="U160" s="1812" t="s">
        <v>124</v>
      </c>
      <c r="V160" s="1844" t="s">
        <v>28</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218</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219</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227</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124</v>
      </c>
      <c r="N165" s="2505" t="str">
        <f>IF(Z165="","",INDEX(TERRITORY_MR_LIST,MATCH(Z165,TERRITORY_LIST_ID,0)))</f>
        <v/>
      </c>
      <c r="O165" s="2186" t="s">
        <v>64</v>
      </c>
      <c r="P165" s="2109"/>
      <c r="Q165" s="2109" t="s">
        <v>124</v>
      </c>
      <c r="R165" s="2503" t="s">
        <v>28</v>
      </c>
      <c r="S165" s="2108" t="s">
        <v>64</v>
      </c>
      <c r="T165" s="1812"/>
      <c r="U165" s="1812" t="s">
        <v>124</v>
      </c>
      <c r="V165" s="1844" t="s">
        <v>28</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218</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219</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124</v>
      </c>
      <c r="R169" s="2503" t="s">
        <v>28</v>
      </c>
      <c r="S169" s="2108" t="s">
        <v>64</v>
      </c>
      <c r="T169" s="1812"/>
      <c r="U169" s="1812" t="s">
        <v>124</v>
      </c>
      <c r="V169" s="1844" t="s">
        <v>28</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218</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124</v>
      </c>
      <c r="V172" s="1844" t="s">
        <v>28</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1975</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64</v>
      </c>
      <c r="L176" s="2109"/>
      <c r="M176" s="2109" t="s">
        <v>124</v>
      </c>
      <c r="N176" s="2505" t="str">
        <f>IF(Z176="","",INDEX(TERRITORY_MR_LIST,MATCH(Z176,TERRITORY_LIST_ID,0)))</f>
        <v/>
      </c>
      <c r="O176" s="2186" t="s">
        <v>64</v>
      </c>
      <c r="P176" s="2109"/>
      <c r="Q176" s="2109" t="s">
        <v>124</v>
      </c>
      <c r="R176" s="2503" t="s">
        <v>28</v>
      </c>
      <c r="S176" s="2407" t="s">
        <v>19</v>
      </c>
      <c r="T176" s="1803"/>
      <c r="U176" s="1803" t="s">
        <v>124</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219</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227</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236</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64</v>
      </c>
      <c r="L182" s="2109"/>
      <c r="M182" s="2109" t="s">
        <v>124</v>
      </c>
      <c r="N182" s="2505" t="str">
        <f>IF(Z182="","",INDEX(TERRITORY_MR_LIST,MATCH(Z182,TERRITORY_LIST_ID,0)))</f>
        <v/>
      </c>
      <c r="O182" s="2186" t="s">
        <v>64</v>
      </c>
      <c r="P182" s="2109"/>
      <c r="Q182" s="2109" t="s">
        <v>124</v>
      </c>
      <c r="R182" s="2503" t="s">
        <v>28</v>
      </c>
      <c r="S182" s="2407" t="s">
        <v>19</v>
      </c>
      <c r="T182" s="1803"/>
      <c r="U182" s="1803" t="s">
        <v>124</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219</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227</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124</v>
      </c>
      <c r="N187" s="2505" t="str">
        <f>IF(Z187="","",INDEX(TERRITORY_MR_LIST,MATCH(Z187,TERRITORY_LIST_ID,0)))</f>
        <v/>
      </c>
      <c r="O187" s="2186" t="s">
        <v>64</v>
      </c>
      <c r="P187" s="2109"/>
      <c r="Q187" s="2109" t="s">
        <v>124</v>
      </c>
      <c r="R187" s="2503" t="s">
        <v>28</v>
      </c>
      <c r="S187" s="2407" t="s">
        <v>19</v>
      </c>
      <c r="T187" s="1803"/>
      <c r="U187" s="1803" t="s">
        <v>124</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219</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124</v>
      </c>
      <c r="R191" s="2503" t="s">
        <v>28</v>
      </c>
      <c r="S191" s="2407" t="s">
        <v>19</v>
      </c>
      <c r="T191" s="1803"/>
      <c r="U191" s="1803" t="s">
        <v>124</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1976</v>
      </c>
    </row>
    <row customHeight="1" ht="17.25">
      <c r="G201" s="1840"/>
      <c r="H201" s="1840"/>
      <c r="I201" s="1840"/>
      <c r="M201" s="1836"/>
    </row>
    <row s="1851" customFormat="1" customHeight="1" ht="15">
      <c r="D202" s="2524"/>
      <c r="E202" s="2200"/>
      <c r="F202" s="2200"/>
      <c r="G202" s="2186"/>
      <c r="H202" s="1565"/>
      <c r="I202" s="2528">
        <v>1</v>
      </c>
      <c r="J202" s="2502"/>
      <c r="K202" s="1580"/>
      <c r="L202" s="2186" t="s">
        <v>64</v>
      </c>
      <c r="M202" s="2186" t="s">
        <v>64</v>
      </c>
      <c r="N202" s="1565"/>
      <c r="O202" s="2109" t="s">
        <v>124</v>
      </c>
      <c r="P202" s="2518"/>
      <c r="Q202" s="1581"/>
      <c r="R202" s="2186" t="s">
        <v>64</v>
      </c>
      <c r="S202" s="2186" t="s">
        <v>64</v>
      </c>
      <c r="T202" s="1856"/>
      <c r="U202" s="2109" t="s">
        <v>124</v>
      </c>
      <c r="V202" s="2525" t="str">
        <f>IF(AK202="","",INDEX(TERRITORY_MR_LIST,MATCH(AK202,TERRITORY_LIST_ID,0)))</f>
        <v/>
      </c>
      <c r="W202" s="1582"/>
      <c r="X202" s="2186" t="s">
        <v>64</v>
      </c>
      <c r="Y202" s="2186" t="s">
        <v>19</v>
      </c>
      <c r="Z202" s="1565"/>
      <c r="AA202" s="2109" t="s">
        <v>124</v>
      </c>
      <c r="AB202" s="2527"/>
      <c r="AC202" s="1583"/>
      <c r="AD202" s="2186" t="s">
        <v>64</v>
      </c>
      <c r="AE202" s="2186" t="s">
        <v>19</v>
      </c>
      <c r="AF202" s="1563"/>
      <c r="AG202" s="1812" t="s">
        <v>124</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1977</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1978</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118</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1979</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236</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96D5D8-4948-D588-BAC9-830DC601C0F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1980</v>
      </c>
      <c r="B1" s="847"/>
      <c r="C1" s="983" t="s">
        <v>1981</v>
      </c>
      <c r="D1" s="981" t="s">
        <v>840</v>
      </c>
      <c r="E1" s="981" t="s">
        <v>886</v>
      </c>
      <c r="F1" s="981" t="s">
        <v>939</v>
      </c>
      <c r="G1" s="981" t="s">
        <v>926</v>
      </c>
      <c r="H1" s="981" t="s">
        <v>1654</v>
      </c>
    </row>
    <row customHeight="1" ht="9">
      <c r="A2" s="984" t="s">
        <v>1982</v>
      </c>
      <c r="B2" s="984"/>
      <c r="C2" s="985" t="str">
        <f>INDEX(TEMPLATE_NUMBER_FORM_LIST,MATCH(TEMPLATE_SPHERE,TEMPLATE_SPHERE_LIST,0))</f>
        <v>16</v>
      </c>
      <c r="D2" s="984" t="s">
        <v>1505</v>
      </c>
      <c r="E2" s="984" t="s">
        <v>163</v>
      </c>
      <c r="F2" s="986" t="s">
        <v>163</v>
      </c>
      <c r="G2" s="984" t="s">
        <v>163</v>
      </c>
      <c r="H2" s="987"/>
    </row>
    <row customHeight="1" ht="63">
      <c r="A3" s="847"/>
      <c r="B3" s="847" t="s">
        <v>124</v>
      </c>
      <c r="C3" s="98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5" t="s">
        <v>1983</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6"/>
      <c r="G3" s="987"/>
      <c r="H3" s="847"/>
    </row>
    <row customHeight="1" ht="243">
      <c r="A4" s="847" t="s">
        <v>1984</v>
      </c>
      <c r="B4" s="847" t="s">
        <v>107</v>
      </c>
      <c r="C4" s="98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4" t="s">
        <v>1985</v>
      </c>
      <c r="E4" s="98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4"/>
      <c r="G4" s="984"/>
      <c r="H4" s="847" t="s">
        <v>1986</v>
      </c>
    </row>
    <row customHeight="1" ht="117">
      <c r="A5" s="847" t="s">
        <v>1987</v>
      </c>
      <c r="B5" s="847" t="s">
        <v>93</v>
      </c>
      <c r="C5" s="98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7" t="s">
        <v>1988</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7"/>
      <c r="G5" s="987"/>
      <c r="H5" s="847" t="s">
        <v>1989</v>
      </c>
    </row>
    <row customHeight="1" ht="90">
      <c r="A6" s="847" t="s">
        <v>1990</v>
      </c>
      <c r="B6" s="847" t="s">
        <v>94</v>
      </c>
      <c r="C6" s="985"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7"/>
      <c r="G6" s="847"/>
      <c r="H6" s="987"/>
    </row>
    <row customHeight="1" ht="45">
      <c r="A7" s="847" t="s">
        <v>1991</v>
      </c>
      <c r="B7" s="847" t="s">
        <v>125</v>
      </c>
      <c r="C7" s="985" t="str">
        <f>IF(TEMPLATE_SPHERE="HEAT",D7,E7)</f>
        <v>Форма 11. Информация о расходах на капитальный и текущий ремонт основных средств</v>
      </c>
      <c r="D7" s="847" t="s">
        <v>1992</v>
      </c>
      <c r="E7" s="847" t="s">
        <v>1993</v>
      </c>
      <c r="F7" s="987"/>
      <c r="G7" s="987"/>
      <c r="H7" s="987"/>
    </row>
    <row customHeight="1" ht="108">
      <c r="A8" s="847" t="s">
        <v>1994</v>
      </c>
      <c r="B8" s="847" t="s">
        <v>95</v>
      </c>
      <c r="C8" s="98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7" t="s">
        <v>1194</v>
      </c>
      <c r="E8" s="847" t="s">
        <v>1995</v>
      </c>
      <c r="F8" s="987"/>
      <c r="G8" s="987"/>
      <c r="H8" s="987"/>
    </row>
    <row customHeight="1" ht="99">
      <c r="A9" s="847" t="s">
        <v>1996</v>
      </c>
      <c r="B9" s="847"/>
      <c r="C9" s="847" t="s">
        <v>1997</v>
      </c>
      <c r="D9" s="847"/>
      <c r="E9" s="847"/>
      <c r="F9" s="987"/>
      <c r="G9" s="987"/>
      <c r="H9" s="987"/>
    </row>
    <row customHeight="1" ht="126">
      <c r="A10" s="847" t="s">
        <v>1998</v>
      </c>
      <c r="B10" s="847"/>
      <c r="C10" s="847" t="s">
        <v>1999</v>
      </c>
      <c r="D10" s="847"/>
      <c r="E10" s="847"/>
      <c r="F10" s="987"/>
      <c r="G10" s="987"/>
      <c r="H10" s="987"/>
    </row>
    <row customHeight="1" ht="108">
      <c r="A11" s="847" t="s">
        <v>2000</v>
      </c>
      <c r="B11" s="847"/>
      <c r="C11" s="847" t="s">
        <v>2001</v>
      </c>
      <c r="D11" s="847"/>
      <c r="E11" s="847"/>
      <c r="F11" s="987"/>
      <c r="G11" s="987"/>
      <c r="H11" s="987"/>
    </row>
    <row customHeight="1" ht="54">
      <c r="A12" s="847" t="s">
        <v>2002</v>
      </c>
      <c r="B12" s="847"/>
      <c r="C12" s="847" t="s">
        <v>2003</v>
      </c>
      <c r="D12" s="847"/>
      <c r="E12" s="847"/>
      <c r="F12" s="987"/>
      <c r="G12" s="987"/>
      <c r="H12" s="987"/>
    </row>
    <row customHeight="1" ht="45">
      <c r="A13" s="847" t="s">
        <v>2004</v>
      </c>
      <c r="B13" s="847"/>
      <c r="C13" s="847" t="s">
        <v>2005</v>
      </c>
      <c r="D13" s="847"/>
      <c r="E13" s="847"/>
      <c r="F13" s="987"/>
      <c r="G13" s="987"/>
      <c r="H13" s="987"/>
    </row>
    <row customHeight="1" ht="117">
      <c r="A14" s="847" t="s">
        <v>2006</v>
      </c>
      <c r="B14" s="847"/>
      <c r="C14" s="847" t="s">
        <v>2007</v>
      </c>
      <c r="D14" s="847"/>
      <c r="E14" s="847"/>
      <c r="F14" s="987"/>
      <c r="G14" s="987"/>
      <c r="H14" s="987"/>
    </row>
    <row customHeight="1" ht="117">
      <c r="A15" s="847" t="s">
        <v>2008</v>
      </c>
      <c r="B15" s="847"/>
      <c r="C15" s="847" t="s">
        <v>2009</v>
      </c>
      <c r="D15" s="847"/>
      <c r="E15" s="847"/>
      <c r="F15" s="987"/>
      <c r="G15" s="987"/>
      <c r="H15" s="987"/>
    </row>
    <row customHeight="1" ht="63">
      <c r="A16" s="847" t="s">
        <v>2010</v>
      </c>
      <c r="B16" s="847"/>
      <c r="C16" s="847" t="s">
        <v>2011</v>
      </c>
      <c r="D16" s="847"/>
      <c r="E16" s="847"/>
      <c r="F16" s="987"/>
      <c r="G16" s="987"/>
      <c r="H16" s="987"/>
    </row>
    <row customHeight="1" ht="54">
      <c r="A17" s="847" t="s">
        <v>2012</v>
      </c>
      <c r="B17" s="847"/>
      <c r="C17" s="985" t="s">
        <v>2013</v>
      </c>
      <c r="D17" s="847"/>
      <c r="E17" s="847"/>
      <c r="F17" s="987"/>
      <c r="G17" s="987"/>
      <c r="H17" s="987"/>
    </row>
    <row customHeight="1" ht="27">
      <c r="A18" s="847" t="s">
        <v>2014</v>
      </c>
      <c r="B18" s="847"/>
      <c r="C18" s="985" t="s">
        <v>2015</v>
      </c>
      <c r="D18" s="847"/>
      <c r="E18" s="847"/>
      <c r="F18" s="987"/>
      <c r="G18" s="987"/>
      <c r="H18" s="987"/>
    </row>
    <row customHeight="1" ht="54">
      <c r="A19" s="847" t="s">
        <v>2016</v>
      </c>
      <c r="B19" s="847"/>
      <c r="C19" s="985" t="s">
        <v>2017</v>
      </c>
      <c r="D19" s="847"/>
      <c r="E19" s="847"/>
      <c r="F19" s="987"/>
      <c r="G19" s="987"/>
      <c r="H19" s="987"/>
    </row>
    <row customHeight="1" ht="36">
      <c r="A20" s="847" t="s">
        <v>2018</v>
      </c>
      <c r="B20" s="847"/>
      <c r="C20" s="985" t="s">
        <v>2019</v>
      </c>
      <c r="D20" s="847"/>
      <c r="E20" s="847"/>
      <c r="F20" s="987"/>
      <c r="G20" s="987"/>
      <c r="H20" s="987"/>
    </row>
    <row customHeight="1" ht="36">
      <c r="A21" s="847" t="s">
        <v>2020</v>
      </c>
      <c r="B21" s="847"/>
      <c r="C21" s="985" t="s">
        <v>2021</v>
      </c>
      <c r="D21" s="847"/>
      <c r="E21" s="847"/>
      <c r="F21" s="987"/>
      <c r="G21" s="987"/>
      <c r="H21" s="987"/>
    </row>
    <row customHeight="1" ht="27">
      <c r="A22" s="847" t="s">
        <v>2022</v>
      </c>
      <c r="B22" s="847"/>
      <c r="C22" s="985" t="s">
        <v>2023</v>
      </c>
      <c r="D22" s="847"/>
      <c r="E22" s="847"/>
      <c r="F22" s="987"/>
      <c r="G22" s="987"/>
      <c r="H22" s="987"/>
    </row>
    <row customHeight="1" ht="36">
      <c r="A23" s="847" t="s">
        <v>2024</v>
      </c>
      <c r="B23" s="847"/>
      <c r="C23" s="985" t="s">
        <v>2025</v>
      </c>
      <c r="D23" s="847"/>
      <c r="E23" s="847"/>
      <c r="F23" s="987"/>
      <c r="G23" s="987"/>
      <c r="H23" s="987"/>
    </row>
    <row customHeight="1" ht="28.5">
      <c r="A24" s="847" t="s">
        <v>2026</v>
      </c>
      <c r="B24" s="847"/>
      <c r="C24" s="985" t="s">
        <v>2027</v>
      </c>
      <c r="D24" s="847"/>
      <c r="E24" s="847"/>
      <c r="F24" s="987"/>
      <c r="G24" s="987"/>
      <c r="H24" s="987"/>
    </row>
    <row customHeight="1" ht="36">
      <c r="A25" s="847" t="s">
        <v>2028</v>
      </c>
      <c r="B25" s="847"/>
      <c r="C25" s="985" t="s">
        <v>2029</v>
      </c>
      <c r="D25" s="847"/>
      <c r="E25" s="847"/>
      <c r="F25" s="987"/>
      <c r="G25" s="987"/>
      <c r="H25" s="987"/>
    </row>
    <row customHeight="1" ht="27">
      <c r="A26" s="847" t="s">
        <v>2030</v>
      </c>
      <c r="B26" s="847"/>
      <c r="C26" s="985" t="s">
        <v>2031</v>
      </c>
      <c r="D26" s="847"/>
      <c r="E26" s="847"/>
      <c r="F26" s="987"/>
      <c r="G26" s="987"/>
      <c r="H26" s="987"/>
    </row>
    <row customHeight="1" ht="36">
      <c r="A27" s="847" t="s">
        <v>2032</v>
      </c>
      <c r="B27" s="847"/>
      <c r="C27" s="985" t="s">
        <v>2033</v>
      </c>
      <c r="D27" s="847"/>
      <c r="E27" s="847"/>
      <c r="F27" s="987"/>
      <c r="G27" s="987"/>
      <c r="H27" s="987"/>
    </row>
    <row customHeight="1" ht="28.5">
      <c r="A28" s="847" t="s">
        <v>2034</v>
      </c>
      <c r="B28" s="847"/>
      <c r="C28" s="985" t="s">
        <v>2035</v>
      </c>
      <c r="D28" s="847"/>
      <c r="E28" s="847"/>
      <c r="F28" s="987"/>
      <c r="G28" s="987"/>
      <c r="H28" s="987"/>
    </row>
    <row customHeight="1" ht="126">
      <c r="A29" s="847" t="s">
        <v>2036</v>
      </c>
      <c r="B29" s="847" t="s">
        <v>1606</v>
      </c>
      <c r="C29" s="98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7" t="s">
        <v>2037</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7"/>
      <c r="G29" s="987"/>
      <c r="H29" s="847" t="s">
        <v>2038</v>
      </c>
    </row>
    <row customHeight="1" ht="36">
      <c r="A30" s="847" t="s">
        <v>2039</v>
      </c>
      <c r="B30" s="847"/>
      <c r="C30" s="98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7" t="s">
        <v>2040</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7"/>
      <c r="G30" s="987"/>
      <c r="H30" s="987"/>
    </row>
    <row customHeight="1" ht="54">
      <c r="A31" s="847" t="s">
        <v>2041</v>
      </c>
      <c r="B31" s="847"/>
      <c r="C31" s="98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7" t="s">
        <v>2042</v>
      </c>
      <c r="E31" s="85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7"/>
      <c r="G31" s="987"/>
      <c r="H31" s="987"/>
    </row>
    <row customHeight="1" ht="198">
      <c r="A32" s="847" t="s">
        <v>2043</v>
      </c>
      <c r="B32" s="847"/>
      <c r="C32" s="98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7" t="s">
        <v>2044</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7"/>
      <c r="G32" s="987"/>
      <c r="H32" s="847" t="s">
        <v>2045</v>
      </c>
    </row>
    <row customHeight="1" ht="9">
      <c r="A33" s="847"/>
      <c r="B33" s="847"/>
      <c r="C33" s="985"/>
      <c r="D33" s="847"/>
      <c r="E33" s="847"/>
      <c r="F33" s="987"/>
      <c r="G33" s="987"/>
      <c r="H33" s="987"/>
    </row>
    <row customHeight="1" ht="9">
      <c r="A34" s="847"/>
      <c r="B34" s="847" t="s">
        <v>1542</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3D579F8-1788-7AD8-BE56-06FE85EC948D}"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2046</v>
      </c>
      <c r="D1" s="899"/>
      <c r="E1" s="899"/>
      <c r="F1" s="899"/>
      <c r="G1" s="899"/>
      <c r="H1" s="899" t="s">
        <v>2047</v>
      </c>
      <c r="I1" s="899"/>
      <c r="J1" s="899"/>
      <c r="K1" s="899"/>
      <c r="L1" s="899"/>
      <c r="M1" s="899" t="s">
        <v>2048</v>
      </c>
      <c r="N1" s="899" t="s">
        <v>2049</v>
      </c>
      <c r="O1" s="2593" t="s">
        <v>2050</v>
      </c>
      <c r="P1" s="2593"/>
      <c r="Q1" s="2593"/>
      <c r="R1" s="2593"/>
      <c r="S1" s="2593"/>
      <c r="T1" s="2593" t="s">
        <v>2048</v>
      </c>
      <c r="U1" s="2593"/>
      <c r="V1" s="2593"/>
      <c r="W1" s="2593"/>
      <c r="X1" s="2593"/>
      <c r="Y1" s="1000"/>
      <c r="Z1" s="2593" t="s">
        <v>2051</v>
      </c>
      <c r="AA1" s="2593"/>
      <c r="AB1" s="2593"/>
      <c r="AC1" s="2593"/>
      <c r="AD1" s="2593"/>
    </row>
    <row customHeight="1" ht="18">
      <c r="A2" s="847"/>
      <c r="B2" s="847"/>
      <c r="C2" s="842" t="s">
        <v>840</v>
      </c>
      <c r="D2" s="842" t="s">
        <v>886</v>
      </c>
      <c r="E2" s="842" t="s">
        <v>939</v>
      </c>
      <c r="F2" s="842" t="s">
        <v>926</v>
      </c>
      <c r="G2" s="842" t="s">
        <v>1654</v>
      </c>
      <c r="H2" s="844"/>
      <c r="I2" s="844"/>
      <c r="J2" s="844"/>
      <c r="K2" s="844"/>
      <c r="L2" s="844"/>
      <c r="M2" s="844"/>
      <c r="N2" s="844"/>
      <c r="O2" s="842" t="s">
        <v>840</v>
      </c>
      <c r="P2" s="842" t="s">
        <v>886</v>
      </c>
      <c r="Q2" s="842" t="s">
        <v>926</v>
      </c>
      <c r="R2" s="842" t="s">
        <v>939</v>
      </c>
      <c r="S2" s="842" t="s">
        <v>1654</v>
      </c>
      <c r="T2" s="842" t="s">
        <v>840</v>
      </c>
      <c r="U2" s="842" t="s">
        <v>886</v>
      </c>
      <c r="V2" s="842" t="s">
        <v>926</v>
      </c>
      <c r="W2" s="842" t="s">
        <v>939</v>
      </c>
      <c r="X2" s="842" t="s">
        <v>1654</v>
      </c>
      <c r="Y2" s="842"/>
      <c r="Z2" s="842" t="s">
        <v>840</v>
      </c>
      <c r="AA2" s="851" t="s">
        <v>886</v>
      </c>
      <c r="AB2" s="842" t="s">
        <v>926</v>
      </c>
      <c r="AC2" s="842" t="s">
        <v>939</v>
      </c>
      <c r="AD2" s="842" t="s">
        <v>1654</v>
      </c>
    </row>
    <row customHeight="1" ht="162">
      <c r="A3" s="846" t="s">
        <v>26</v>
      </c>
      <c r="B3" s="846"/>
      <c r="C3" s="2597" t="s">
        <v>2052</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4"/>
      <c r="P3" s="844"/>
      <c r="Q3" s="844"/>
      <c r="R3" s="844"/>
      <c r="S3" s="844"/>
      <c r="T3" s="844"/>
      <c r="U3" s="844"/>
      <c r="V3" s="844"/>
      <c r="W3" s="844"/>
      <c r="X3" s="844"/>
      <c r="Y3" s="1001"/>
      <c r="Z3" s="847" t="s">
        <v>2053</v>
      </c>
      <c r="AA3" s="844" t="s">
        <v>2054</v>
      </c>
      <c r="AB3" s="847" t="s">
        <v>2055</v>
      </c>
      <c r="AC3" s="847" t="s">
        <v>2056</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1593</v>
      </c>
      <c r="D11" s="2600" t="s">
        <v>1589</v>
      </c>
      <c r="E11" s="2600" t="s">
        <v>1687</v>
      </c>
      <c r="F11" s="2600" t="s">
        <v>2057</v>
      </c>
      <c r="G11" s="2600"/>
      <c r="H11" s="899" t="s">
        <v>2058</v>
      </c>
      <c r="I11" s="899"/>
      <c r="J11" s="899"/>
      <c r="K11" s="899"/>
      <c r="L11" s="899"/>
      <c r="M11" s="845" t="str">
        <f>IF(TEMPLATE_SPHERE="HEAT",T11,U11)</f>
        <v>Количество поданных заявок</v>
      </c>
      <c r="N11" s="84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4"/>
      <c r="P11" s="844"/>
      <c r="Q11" s="844"/>
      <c r="R11" s="844"/>
      <c r="S11" s="844"/>
      <c r="T11" s="844" t="s">
        <v>2059</v>
      </c>
      <c r="U11" s="844" t="s">
        <v>2060</v>
      </c>
      <c r="V11" s="844"/>
      <c r="W11" s="844"/>
      <c r="X11" s="844"/>
      <c r="Y11" s="1001"/>
      <c r="Z11" s="847" t="s">
        <v>2061</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7"/>
      <c r="AC11" s="847"/>
      <c r="AD11" s="847"/>
    </row>
    <row customHeight="1" ht="45">
      <c r="A12" s="2594"/>
      <c r="B12" s="900">
        <v>2</v>
      </c>
      <c r="C12" s="2601"/>
      <c r="D12" s="2601"/>
      <c r="E12" s="2601"/>
      <c r="F12" s="2601"/>
      <c r="G12" s="2601"/>
      <c r="H12" s="899" t="s">
        <v>2062</v>
      </c>
      <c r="I12" s="899"/>
      <c r="J12" s="899"/>
      <c r="K12" s="899"/>
      <c r="L12" s="899"/>
      <c r="M12" s="845" t="str">
        <f>IF(TEMPLATE_SPHERE="HEAT",T12,U12)</f>
        <v>Количество рассмотренных заявок</v>
      </c>
      <c r="N12" s="84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4"/>
      <c r="P12" s="844"/>
      <c r="Q12" s="844"/>
      <c r="R12" s="844"/>
      <c r="S12" s="844"/>
      <c r="T12" s="844" t="s">
        <v>2063</v>
      </c>
      <c r="U12" s="844" t="s">
        <v>2064</v>
      </c>
      <c r="V12" s="844"/>
      <c r="W12" s="844"/>
      <c r="X12" s="844"/>
      <c r="Y12" s="1001"/>
      <c r="Z12" s="847" t="s">
        <v>2065</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7"/>
      <c r="AC12" s="847"/>
      <c r="AD12" s="847"/>
    </row>
    <row customHeight="1" ht="72">
      <c r="A13" s="2594"/>
      <c r="B13" s="900">
        <v>3</v>
      </c>
      <c r="C13" s="2601"/>
      <c r="D13" s="2601"/>
      <c r="E13" s="2601"/>
      <c r="F13" s="2601"/>
      <c r="G13" s="2601"/>
      <c r="H13" s="2593" t="s">
        <v>2066</v>
      </c>
      <c r="I13" s="899"/>
      <c r="J13" s="899"/>
      <c r="K13" s="899"/>
      <c r="L13" s="899"/>
      <c r="M13" s="84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5" t="str">
        <f>IF(TEMPLATE_SPHERE="HEAT",Z13,AA13)</f>
        <v>Указывается количество заявок с решением об отказе в течение отчетного квартала.</v>
      </c>
      <c r="O13" s="844"/>
      <c r="P13" s="845"/>
      <c r="Q13" s="845"/>
      <c r="R13" s="845"/>
      <c r="S13" s="844"/>
      <c r="T13" s="844" t="s">
        <v>2067</v>
      </c>
      <c r="U13" s="845" t="s">
        <v>2068</v>
      </c>
      <c r="V13" s="845"/>
      <c r="W13" s="845"/>
      <c r="X13" s="844"/>
      <c r="Y13" s="1001"/>
      <c r="Z13" s="847" t="s">
        <v>2069</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системе теплоснабжения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2070</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5"/>
      <c r="W14" s="845"/>
      <c r="X14" s="844"/>
      <c r="Y14" s="1001"/>
      <c r="Z14" s="847" t="s">
        <v>2071</v>
      </c>
      <c r="AA14" s="850" t="s">
        <v>2071</v>
      </c>
      <c r="AB14" s="847"/>
      <c r="AC14" s="847"/>
      <c r="AD14" s="847"/>
    </row>
    <row customHeight="1" ht="108">
      <c r="A15" s="2594"/>
      <c r="B15" s="900">
        <v>5</v>
      </c>
      <c r="C15" s="2601"/>
      <c r="D15" s="2601"/>
      <c r="E15" s="2601"/>
      <c r="F15" s="2601"/>
      <c r="G15" s="2601"/>
      <c r="H15" s="2595" t="s">
        <v>2072</v>
      </c>
      <c r="I15" s="901"/>
      <c r="J15" s="901"/>
      <c r="K15" s="901"/>
      <c r="L15" s="901"/>
      <c r="M15" s="850" t="str">
        <f>IF(TEMPLATE_SPHERE="HEAT",T15,U15)</f>
        <v>Резерв мощности источников тепловой энергии, входящих в систему теплоснабжения, в течение одного квартала, в том числе:</v>
      </c>
      <c r="N15" s="84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4"/>
      <c r="P15" s="845"/>
      <c r="Q15" s="845"/>
      <c r="R15" s="845"/>
      <c r="S15" s="844"/>
      <c r="T15" s="844" t="s">
        <v>2073</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5"/>
      <c r="W15" s="845"/>
      <c r="X15" s="844"/>
      <c r="Y15" s="1001"/>
      <c r="Z15" s="847" t="s">
        <v>2074</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4"/>
      <c r="P16" s="845"/>
      <c r="Q16" s="845"/>
      <c r="R16" s="845"/>
      <c r="S16" s="844"/>
      <c r="T16" s="844"/>
      <c r="U16" s="845"/>
      <c r="V16" s="845"/>
      <c r="W16" s="845"/>
      <c r="X16" s="844"/>
      <c r="Y16" s="1001"/>
      <c r="Z16" s="847" t="s">
        <v>2074</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1690</v>
      </c>
      <c r="B18" s="900">
        <v>1</v>
      </c>
      <c r="C18" s="844" t="s">
        <v>2058</v>
      </c>
      <c r="D18" s="968" t="s">
        <v>2058</v>
      </c>
      <c r="E18" s="844" t="s">
        <v>2058</v>
      </c>
      <c r="F18" s="844" t="s">
        <v>2058</v>
      </c>
      <c r="G18" s="844"/>
      <c r="H18" s="1003"/>
      <c r="I18" s="1006">
        <f>INDEX(TEMPLATE_NUMBER_POINT_FHD,B18,MATCH(TEMPLATE_SPHERE,TEMPLATE_SPHERE_LIST_FOR_NOTE,0))</f>
        <v>1</v>
      </c>
      <c r="J18" s="1006" t="str">
        <f>INDEX(TEMPLATE_DATA_POINT_FHD,B18,MATCH(TEMPLATE_SPHERE,TEMPLATE_SPHERE_LIST_FOR_NOTE,0))</f>
        <v>Выручка от регулируемого вида деятельности с распределением по видам деятельности</v>
      </c>
      <c r="K18" s="100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5">
        <f>IF(I18=0,"",I18)</f>
        <v>1</v>
      </c>
      <c r="M18" s="845" t="str">
        <f>IF(J18=0,"",J18)</f>
        <v>Выручка от регулируемого вида деятельности с распределением по видам деятельности</v>
      </c>
      <c r="N18" s="845" t="str">
        <f>IF(K18=0,"",K18)</f>
        <v>Указывается выручка от регулируемого вида деятельности с распределением по видам деятельности.</v>
      </c>
      <c r="O18" s="958">
        <v>1</v>
      </c>
      <c r="P18" s="958">
        <v>1</v>
      </c>
      <c r="Q18" s="958">
        <v>1</v>
      </c>
      <c r="R18" s="958">
        <v>1</v>
      </c>
      <c r="S18" s="958"/>
      <c r="T18" s="965" t="s">
        <v>2075</v>
      </c>
      <c r="U18" s="847" t="s">
        <v>2076</v>
      </c>
      <c r="V18" s="847" t="s">
        <v>2077</v>
      </c>
      <c r="W18" s="847" t="s">
        <v>2078</v>
      </c>
      <c r="X18" s="844"/>
      <c r="Y18" s="1001"/>
      <c r="Z18" s="847" t="s">
        <v>2079</v>
      </c>
      <c r="AA18" s="850" t="s">
        <v>2080</v>
      </c>
      <c r="AB18" s="850" t="s">
        <v>2080</v>
      </c>
      <c r="AC18" s="850" t="s">
        <v>2080</v>
      </c>
      <c r="AD18" s="847"/>
    </row>
    <row customHeight="1" ht="36">
      <c r="A19" s="846"/>
      <c r="B19" s="900">
        <v>2</v>
      </c>
      <c r="C19" s="844" t="s">
        <v>2062</v>
      </c>
      <c r="D19" s="968" t="s">
        <v>2062</v>
      </c>
      <c r="E19" s="844" t="s">
        <v>2062</v>
      </c>
      <c r="F19" s="844" t="s">
        <v>2062</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регулируемому виду деятельности, включая:</v>
      </c>
      <c r="N19" s="845" t="str">
        <f>IF(K19=0,"",K19)</f>
        <v>Указывается суммарная себестоимость производимых товаров.</v>
      </c>
      <c r="O19" s="958">
        <v>2</v>
      </c>
      <c r="P19" s="958">
        <v>2</v>
      </c>
      <c r="Q19" s="958">
        <v>2</v>
      </c>
      <c r="R19" s="958">
        <v>2</v>
      </c>
      <c r="S19" s="958"/>
      <c r="T19" s="965" t="s">
        <v>2081</v>
      </c>
      <c r="U19" s="847" t="s">
        <v>2082</v>
      </c>
      <c r="V19" s="847" t="s">
        <v>2083</v>
      </c>
      <c r="W19" s="847" t="s">
        <v>2084</v>
      </c>
      <c r="X19" s="844"/>
      <c r="Y19" s="1001"/>
      <c r="Z19" s="847" t="s">
        <v>2085</v>
      </c>
      <c r="AA19" s="850" t="s">
        <v>2085</v>
      </c>
      <c r="AB19" s="850" t="s">
        <v>2085</v>
      </c>
      <c r="AC19" s="850" t="s">
        <v>2085</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теплоноситель</v>
      </c>
      <c r="K20" s="1006">
        <f>INDEX(TEMPLATE_NOTE_POINT_FHD,B20,MATCH(TEMPLATE_SPHERE,TEMPLATE_SPHERE_LIST_FOR_NOTE,0))</f>
        <v>0</v>
      </c>
      <c r="L20" s="845" t="str">
        <f>IF(I20=0,"",I20)</f>
        <v>2.1</v>
      </c>
      <c r="M20" s="845" t="str">
        <f>IF(J20=0,"",J20)</f>
        <v>Расходы на приобретаемую тепловую энергию (мощность), теплоноситель</v>
      </c>
      <c r="N20" s="845" t="str">
        <f>IF(K20=0,"",K20)</f>
        <v/>
      </c>
      <c r="O20" s="958" t="s">
        <v>741</v>
      </c>
      <c r="P20" s="958" t="s">
        <v>741</v>
      </c>
      <c r="Q20" s="958" t="s">
        <v>741</v>
      </c>
      <c r="R20" s="958" t="s">
        <v>741</v>
      </c>
      <c r="S20" s="958"/>
      <c r="T20" s="965" t="s">
        <v>2086</v>
      </c>
      <c r="U20" s="847" t="s">
        <v>2087</v>
      </c>
      <c r="V20" s="847" t="s">
        <v>2088</v>
      </c>
      <c r="W20" s="847" t="s">
        <v>2089</v>
      </c>
      <c r="X20" s="844"/>
      <c r="Y20" s="1001"/>
      <c r="Z20" s="847"/>
      <c r="AA20" s="850"/>
      <c r="AB20" s="847"/>
      <c r="AC20" s="847"/>
      <c r="AD20" s="847"/>
    </row>
    <row customHeight="1" ht="36">
      <c r="A21" s="846"/>
      <c r="B21" s="900">
        <v>4</v>
      </c>
      <c r="C21" s="844">
        <v>2</v>
      </c>
      <c r="D21" s="968"/>
      <c r="E21" s="844"/>
      <c r="F21" s="844"/>
      <c r="G21" s="844"/>
      <c r="H21" s="1003"/>
      <c r="I21" s="1006" t="str">
        <f>INDEX(TEMPLATE_NUMBER_POINT_FHD,B21,MATCH(TEMPLATE_SPHERE,TEMPLATE_SPHERE_LIST_FOR_NOTE,0))</f>
        <v>2.2</v>
      </c>
      <c r="J21" s="100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6" t="str">
        <f>INDEX(TEMPLATE_NOTE_POINT_FHD,B21,MATCH(TEMPLATE_SPHERE,TEMPLATE_SPHERE_LIST_FOR_NOTE,0))</f>
        <v>Указываются суммарные расходы на приобретение топлива всех видов.</v>
      </c>
      <c r="L21" s="845" t="str">
        <f>IF(I21=0,"",I21)</f>
        <v>2.2</v>
      </c>
      <c r="M21" s="84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5" t="str">
        <f>IF(K21=0,"",K21)</f>
        <v>Указываются суммарные расходы на приобретение топлива всех видов.</v>
      </c>
      <c r="O21" s="958" t="s">
        <v>340</v>
      </c>
      <c r="P21" s="958"/>
      <c r="Q21" s="958"/>
      <c r="R21" s="958"/>
      <c r="S21" s="958"/>
      <c r="T21" s="965" t="s">
        <v>2090</v>
      </c>
      <c r="U21" s="847"/>
      <c r="V21" s="847"/>
      <c r="W21" s="847"/>
      <c r="X21" s="844"/>
      <c r="Y21" s="1001"/>
      <c r="Z21" s="847" t="s">
        <v>2091</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340</v>
      </c>
      <c r="R22" s="958"/>
      <c r="S22" s="958"/>
      <c r="T22" s="965"/>
      <c r="U22" s="847"/>
      <c r="V22" s="847" t="s">
        <v>2092</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343</v>
      </c>
      <c r="R23" s="958"/>
      <c r="S23" s="958"/>
      <c r="T23" s="965"/>
      <c r="U23" s="847"/>
      <c r="V23" s="847" t="s">
        <v>2093</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761</v>
      </c>
      <c r="R24" s="958"/>
      <c r="S24" s="958"/>
      <c r="T24" s="965"/>
      <c r="U24" s="847"/>
      <c r="V24" s="847" t="s">
        <v>2094</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2.3</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2.3</v>
      </c>
      <c r="M25" s="845" t="str">
        <f>IF(J25=0,"",J25)</f>
        <v>Расходы на приобретаемую электрическую энергию (мощность), используемую в технологическом процессе</v>
      </c>
      <c r="N25" s="845" t="str">
        <f>IF(K25=0,"",K25)</f>
        <v/>
      </c>
      <c r="O25" s="958" t="s">
        <v>343</v>
      </c>
      <c r="P25" s="958" t="s">
        <v>340</v>
      </c>
      <c r="Q25" s="958" t="s">
        <v>768</v>
      </c>
      <c r="R25" s="958" t="s">
        <v>340</v>
      </c>
      <c r="S25" s="958"/>
      <c r="T25" s="965" t="s">
        <v>2095</v>
      </c>
      <c r="U25" s="847" t="s">
        <v>2095</v>
      </c>
      <c r="V25" s="847" t="s">
        <v>2095</v>
      </c>
      <c r="W25" s="847" t="s">
        <v>2095</v>
      </c>
      <c r="X25" s="844"/>
      <c r="Y25" s="1001"/>
      <c r="Z25" s="847"/>
      <c r="AA25" s="850"/>
      <c r="AB25" s="847"/>
      <c r="AC25" s="847"/>
      <c r="AD25" s="847"/>
    </row>
    <row customHeight="1" ht="18">
      <c r="A26" s="846"/>
      <c r="B26" s="900">
        <v>9</v>
      </c>
      <c r="C26" s="844" t="s">
        <v>685</v>
      </c>
      <c r="D26" s="968"/>
      <c r="E26" s="844"/>
      <c r="F26" s="844"/>
      <c r="G26" s="892"/>
      <c r="H26" s="959"/>
      <c r="I26" s="1006" t="str">
        <f>INDEX(TEMPLATE_NUMBER_POINT_FHD,B26,MATCH(TEMPLATE_SPHERE,TEMPLATE_SPHERE_LIST_FOR_NOTE,0))</f>
        <v>2.3.1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2.3.1</v>
      </c>
      <c r="M26" s="845" t="str">
        <f>IF(J26=0,"",J26)</f>
        <v>Средневзвешенная стоимость 1 кВт.ч (с учетом мощности)</v>
      </c>
      <c r="N26" s="845" t="str">
        <f>IF(K26=0,"",K26)</f>
        <v/>
      </c>
      <c r="O26" s="958" t="s">
        <v>757</v>
      </c>
      <c r="P26" s="958" t="s">
        <v>751</v>
      </c>
      <c r="Q26" s="958" t="s">
        <v>2096</v>
      </c>
      <c r="R26" s="958" t="s">
        <v>751</v>
      </c>
      <c r="S26" s="958"/>
      <c r="T26" s="965"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5" t="s">
        <v>2097</v>
      </c>
      <c r="V26" s="965" t="s">
        <v>2097</v>
      </c>
      <c r="W26" s="965" t="s">
        <v>2097</v>
      </c>
      <c r="X26" s="844"/>
      <c r="Y26" s="1001"/>
      <c r="Z26" s="847"/>
      <c r="AA26" s="850"/>
      <c r="AB26" s="847"/>
      <c r="AC26" s="847"/>
      <c r="AD26" s="847"/>
    </row>
    <row customHeight="1" ht="18">
      <c r="A27" s="846"/>
      <c r="B27" s="900">
        <v>10</v>
      </c>
      <c r="C27" s="844" t="s">
        <v>689</v>
      </c>
      <c r="D27" s="968"/>
      <c r="E27" s="844"/>
      <c r="F27" s="844"/>
      <c r="G27" s="892"/>
      <c r="H27" s="959"/>
      <c r="I27" s="1006" t="str">
        <f>INDEX(TEMPLATE_NUMBER_POINT_FHD,B27,MATCH(TEMPLATE_SPHERE,TEMPLATE_SPHERE_LIST_FOR_NOTE,0))</f>
        <v>2.3.2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2.3.2</v>
      </c>
      <c r="M27" s="845" t="str">
        <f>IF(J27=0,"",J27)</f>
        <v>Объём приобретения электрической энергии</v>
      </c>
      <c r="N27" s="845" t="str">
        <f>IF(K27=0,"",K27)</f>
        <v/>
      </c>
      <c r="O27" s="958" t="s">
        <v>759</v>
      </c>
      <c r="P27" s="958" t="s">
        <v>753</v>
      </c>
      <c r="Q27" s="958" t="s">
        <v>2098</v>
      </c>
      <c r="R27" s="958" t="s">
        <v>753</v>
      </c>
      <c r="S27" s="958"/>
      <c r="T27" s="965" t="s">
        <v>2099</v>
      </c>
      <c r="U27" s="965" t="s">
        <v>2099</v>
      </c>
      <c r="V27" s="965" t="s">
        <v>2099</v>
      </c>
      <c r="W27" s="965" t="s">
        <v>2099</v>
      </c>
      <c r="X27" s="844"/>
      <c r="Y27" s="1001"/>
      <c r="Z27" s="847"/>
      <c r="AA27" s="850"/>
      <c r="AB27" s="847"/>
      <c r="AC27" s="847"/>
      <c r="AD27" s="847"/>
    </row>
    <row customHeight="1" ht="27">
      <c r="A28" s="846"/>
      <c r="B28" s="900">
        <v>11</v>
      </c>
      <c r="C28" s="844">
        <v>7</v>
      </c>
      <c r="D28" s="968"/>
      <c r="E28" s="844"/>
      <c r="F28" s="844"/>
      <c r="G28" s="892"/>
      <c r="H28" s="959"/>
      <c r="I28" s="1006" t="str">
        <f>INDEX(TEMPLATE_NUMBER_POINT_FHD,B28,MATCH(TEMPLATE_SPHERE,TEMPLATE_SPHERE_LIST_FOR_NOTE,0))</f>
        <v>2.4</v>
      </c>
      <c r="J28" s="1006" t="str">
        <f>INDEX(TEMPLATE_DATA_POINT_FHD,B28,MATCH(TEMPLATE_SPHERE,TEMPLATE_SPHERE_LIST_FOR_NOTE,0))</f>
        <v>Расходы на приобретение холодной воды, используемой в технологическом процессе</v>
      </c>
      <c r="K28" s="1006">
        <f>INDEX(TEMPLATE_NOTE_POINT_FHD,B28,MATCH(TEMPLATE_SPHERE,TEMPLATE_SPHERE_LIST_FOR_NOTE,0))</f>
        <v>0</v>
      </c>
      <c r="L28" s="845" t="str">
        <f>IF(I28=0,"",I28)</f>
        <v>2.4</v>
      </c>
      <c r="M28" s="845" t="str">
        <f>IF(J28=0,"",J28)</f>
        <v>Расходы на приобретение холодной воды, используемой в технологическом процессе</v>
      </c>
      <c r="N28" s="845" t="str">
        <f>IF(K28=0,"",K28)</f>
        <v/>
      </c>
      <c r="O28" s="958" t="s">
        <v>761</v>
      </c>
      <c r="P28" s="958"/>
      <c r="Q28" s="958"/>
      <c r="R28" s="958"/>
      <c r="S28" s="958"/>
      <c r="T28" s="965" t="s">
        <v>2100</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2.5</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2.5</v>
      </c>
      <c r="M29" s="845" t="str">
        <f>IF(J29=0,"",J29)</f>
        <v>Расходы на  химические реагенты, используемые в технологическом процессе</v>
      </c>
      <c r="N29" s="845" t="str">
        <f>IF(K29=0,"",K29)</f>
        <v/>
      </c>
      <c r="O29" s="958" t="s">
        <v>768</v>
      </c>
      <c r="P29" s="958" t="s">
        <v>343</v>
      </c>
      <c r="Q29" s="958"/>
      <c r="R29" s="958" t="s">
        <v>343</v>
      </c>
      <c r="S29" s="958"/>
      <c r="T29" s="965"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7" t="s">
        <v>2101</v>
      </c>
      <c r="V29" s="847"/>
      <c r="W29" s="847" t="s">
        <v>2101</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f>INDEX(TEMPLATE_NOTE_POINT_FHD,B30,MATCH(TEMPLATE_SPHERE,TEMPLATE_SPHERE_LIST_FOR_NOTE,0))</f>
        <v>0</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
      </c>
      <c r="O30" s="958" t="s">
        <v>770</v>
      </c>
      <c r="P30" s="958" t="s">
        <v>761</v>
      </c>
      <c r="Q30" s="958" t="s">
        <v>770</v>
      </c>
      <c r="R30" s="958" t="s">
        <v>761</v>
      </c>
      <c r="S30" s="958"/>
      <c r="T30" s="965" t="s">
        <v>2102</v>
      </c>
      <c r="U30" s="847" t="s">
        <v>2102</v>
      </c>
      <c r="V30" s="847" t="s">
        <v>2102</v>
      </c>
      <c r="W30" s="847" t="s">
        <v>2102</v>
      </c>
      <c r="X30" s="844"/>
      <c r="Y30" s="1001"/>
      <c r="Z30" s="847"/>
      <c r="AA30" s="850" t="s">
        <v>2103</v>
      </c>
      <c r="AB30" s="850" t="s">
        <v>2103</v>
      </c>
      <c r="AC30" s="850" t="s">
        <v>2103</v>
      </c>
      <c r="AD30" s="847"/>
    </row>
    <row customHeight="1" ht="18">
      <c r="A31" s="846"/>
      <c r="B31" s="900">
        <v>14</v>
      </c>
      <c r="C31" s="844" t="s">
        <v>2104</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2105</v>
      </c>
      <c r="P31" s="958" t="s">
        <v>764</v>
      </c>
      <c r="Q31" s="958" t="s">
        <v>2105</v>
      </c>
      <c r="R31" s="958" t="s">
        <v>764</v>
      </c>
      <c r="S31" s="958"/>
      <c r="T31" s="966" t="s">
        <v>2106</v>
      </c>
      <c r="U31" s="847" t="s">
        <v>2106</v>
      </c>
      <c r="V31" s="847" t="s">
        <v>2106</v>
      </c>
      <c r="W31" s="847" t="s">
        <v>2106</v>
      </c>
      <c r="X31" s="844"/>
      <c r="Y31" s="1001"/>
      <c r="Z31" s="847"/>
      <c r="AA31" s="850"/>
      <c r="AB31" s="850"/>
      <c r="AC31" s="850"/>
      <c r="AD31" s="847"/>
    </row>
    <row customHeight="1" ht="36">
      <c r="A32" s="846"/>
      <c r="B32" s="900">
        <v>15</v>
      </c>
      <c r="C32" s="844" t="s">
        <v>2107</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2108</v>
      </c>
      <c r="P32" s="958" t="s">
        <v>766</v>
      </c>
      <c r="Q32" s="958" t="s">
        <v>2108</v>
      </c>
      <c r="R32" s="958" t="s">
        <v>766</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7" t="s">
        <v>2109</v>
      </c>
      <c r="V32" s="847" t="s">
        <v>2109</v>
      </c>
      <c r="W32" s="847" t="s">
        <v>2109</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f>INDEX(TEMPLATE_NOTE_POINT_FHD,B33,MATCH(TEMPLATE_SPHERE,TEMPLATE_SPHERE_LIST_FOR_NOTE,0))</f>
        <v>0</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
      </c>
      <c r="O33" s="958" t="s">
        <v>772</v>
      </c>
      <c r="P33" s="958" t="s">
        <v>768</v>
      </c>
      <c r="Q33" s="958" t="s">
        <v>772</v>
      </c>
      <c r="R33" s="958" t="s">
        <v>768</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7" t="s">
        <v>2110</v>
      </c>
      <c r="V33" s="847" t="s">
        <v>2110</v>
      </c>
      <c r="W33" s="847" t="s">
        <v>2111</v>
      </c>
      <c r="X33" s="844"/>
      <c r="Y33" s="1001"/>
      <c r="Z33" s="847"/>
      <c r="AA33" s="850" t="s">
        <v>2112</v>
      </c>
      <c r="AB33" s="850" t="s">
        <v>2112</v>
      </c>
      <c r="AC33" s="850" t="s">
        <v>2112</v>
      </c>
      <c r="AD33" s="847"/>
    </row>
    <row customHeight="1" ht="27">
      <c r="A34" s="846"/>
      <c r="B34" s="900">
        <v>17</v>
      </c>
      <c r="C34" s="844" t="s">
        <v>2113</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2114</v>
      </c>
      <c r="P34" s="958" t="s">
        <v>2096</v>
      </c>
      <c r="Q34" s="958" t="s">
        <v>2114</v>
      </c>
      <c r="R34" s="958" t="s">
        <v>2096</v>
      </c>
      <c r="S34" s="958"/>
      <c r="T34" s="967" t="s">
        <v>2115</v>
      </c>
      <c r="U34" s="847" t="s">
        <v>2115</v>
      </c>
      <c r="V34" s="847" t="s">
        <v>2115</v>
      </c>
      <c r="W34" s="847" t="s">
        <v>2116</v>
      </c>
      <c r="X34" s="844"/>
      <c r="Y34" s="1001"/>
      <c r="Z34" s="847"/>
      <c r="AA34" s="850"/>
      <c r="AB34" s="847"/>
      <c r="AC34" s="847"/>
      <c r="AD34" s="847"/>
    </row>
    <row customHeight="1" ht="45">
      <c r="A35" s="846"/>
      <c r="B35" s="900">
        <v>18</v>
      </c>
      <c r="C35" s="844" t="s">
        <v>2117</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2118</v>
      </c>
      <c r="P35" s="958" t="s">
        <v>2098</v>
      </c>
      <c r="Q35" s="958" t="s">
        <v>2118</v>
      </c>
      <c r="R35" s="958" t="s">
        <v>2098</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7" t="s">
        <v>2119</v>
      </c>
      <c r="V35" s="847" t="s">
        <v>2119</v>
      </c>
      <c r="W35" s="847" t="s">
        <v>2119</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774</v>
      </c>
      <c r="P36" s="958" t="s">
        <v>770</v>
      </c>
      <c r="Q36" s="958" t="s">
        <v>774</v>
      </c>
      <c r="R36" s="958" t="s">
        <v>770</v>
      </c>
      <c r="S36" s="958"/>
      <c r="T36" s="965" t="s">
        <v>2120</v>
      </c>
      <c r="U36" s="847" t="s">
        <v>2120</v>
      </c>
      <c r="V36" s="847" t="s">
        <v>2120</v>
      </c>
      <c r="W36" s="847" t="s">
        <v>2120</v>
      </c>
      <c r="X36" s="844"/>
      <c r="Y36" s="1001"/>
      <c r="Z36" s="847"/>
      <c r="AA36" s="850"/>
      <c r="AB36" s="847"/>
      <c r="AC36" s="847"/>
      <c r="AD36" s="847"/>
    </row>
    <row customHeight="1" ht="18">
      <c r="A37" s="846"/>
      <c r="B37" s="900">
        <v>20</v>
      </c>
      <c r="C37" s="844" t="s">
        <v>2121</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2122</v>
      </c>
      <c r="P37" s="958" t="s">
        <v>2105</v>
      </c>
      <c r="Q37" s="958" t="s">
        <v>2122</v>
      </c>
      <c r="R37" s="958" t="s">
        <v>2105</v>
      </c>
      <c r="S37" s="958"/>
      <c r="T37" s="965" t="s">
        <v>2123</v>
      </c>
      <c r="U37" s="847" t="s">
        <v>2123</v>
      </c>
      <c r="V37" s="847" t="s">
        <v>2123</v>
      </c>
      <c r="W37" s="847" t="s">
        <v>2123</v>
      </c>
      <c r="X37" s="844"/>
      <c r="Y37" s="1001"/>
      <c r="Z37" s="847"/>
      <c r="AA37" s="850"/>
      <c r="AB37" s="847"/>
      <c r="AC37" s="847"/>
      <c r="AD37" s="847"/>
    </row>
    <row customHeight="1" ht="18">
      <c r="A38" s="846"/>
      <c r="B38" s="900">
        <v>21</v>
      </c>
      <c r="C38" s="844" t="s">
        <v>2124</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2125</v>
      </c>
      <c r="P38" s="958" t="s">
        <v>2108</v>
      </c>
      <c r="Q38" s="958" t="s">
        <v>2125</v>
      </c>
      <c r="R38" s="958" t="s">
        <v>2108</v>
      </c>
      <c r="S38" s="958"/>
      <c r="T38" s="965" t="s">
        <v>2126</v>
      </c>
      <c r="U38" s="847" t="s">
        <v>2126</v>
      </c>
      <c r="V38" s="847" t="s">
        <v>2126</v>
      </c>
      <c r="W38" s="847" t="s">
        <v>2126</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регулируемого вида деятельности</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регулируемого вида деятельности</v>
      </c>
      <c r="N39" s="845" t="str">
        <f>IF(K39=0,"",K39)</f>
        <v/>
      </c>
      <c r="O39" s="958" t="s">
        <v>778</v>
      </c>
      <c r="P39" s="958" t="s">
        <v>772</v>
      </c>
      <c r="Q39" s="958" t="s">
        <v>778</v>
      </c>
      <c r="R39" s="958" t="s">
        <v>772</v>
      </c>
      <c r="S39" s="958"/>
      <c r="T39" s="965" t="s">
        <v>2127</v>
      </c>
      <c r="U39" s="847" t="s">
        <v>2128</v>
      </c>
      <c r="V39" s="847" t="s">
        <v>2129</v>
      </c>
      <c r="W39" s="847" t="s">
        <v>2130</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2131</v>
      </c>
      <c r="P40" s="958" t="s">
        <v>774</v>
      </c>
      <c r="Q40" s="958" t="s">
        <v>2131</v>
      </c>
      <c r="R40" s="958" t="s">
        <v>774</v>
      </c>
      <c r="S40" s="958"/>
      <c r="T40" s="844" t="s">
        <v>2132</v>
      </c>
      <c r="U40" s="844" t="s">
        <v>2132</v>
      </c>
      <c r="V40" s="844" t="s">
        <v>2132</v>
      </c>
      <c r="W40" s="844" t="s">
        <v>2132</v>
      </c>
      <c r="X40" s="844"/>
      <c r="Y40" s="1001"/>
      <c r="Z40" s="847" t="s">
        <v>2133</v>
      </c>
      <c r="AA40" s="850" t="s">
        <v>2133</v>
      </c>
      <c r="AB40" s="850" t="s">
        <v>2133</v>
      </c>
      <c r="AC40" s="850" t="s">
        <v>2133</v>
      </c>
      <c r="AD40" s="847"/>
    </row>
    <row customHeight="1" ht="27">
      <c r="A41" s="846"/>
      <c r="B41" s="900">
        <v>24</v>
      </c>
      <c r="C41" s="844" t="s">
        <v>2134</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2135</v>
      </c>
      <c r="P41" s="958" t="s">
        <v>2122</v>
      </c>
      <c r="Q41" s="958" t="s">
        <v>2135</v>
      </c>
      <c r="R41" s="958" t="s">
        <v>2122</v>
      </c>
      <c r="S41" s="958"/>
      <c r="T41" s="844" t="s">
        <v>2136</v>
      </c>
      <c r="U41" s="844" t="s">
        <v>2136</v>
      </c>
      <c r="V41" s="844" t="s">
        <v>2136</v>
      </c>
      <c r="W41" s="844" t="s">
        <v>2136</v>
      </c>
      <c r="X41" s="844"/>
      <c r="Y41" s="1001"/>
      <c r="Z41" s="847" t="s">
        <v>2137</v>
      </c>
      <c r="AA41" s="847" t="s">
        <v>2137</v>
      </c>
      <c r="AB41" s="847" t="s">
        <v>2137</v>
      </c>
      <c r="AC41" s="847" t="s">
        <v>2137</v>
      </c>
      <c r="AD41" s="847"/>
    </row>
    <row customHeight="1" ht="27">
      <c r="A42" s="846"/>
      <c r="B42" s="900">
        <v>25</v>
      </c>
      <c r="C42" s="844" t="s">
        <v>2138</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2139</v>
      </c>
      <c r="P42" s="958" t="s">
        <v>2125</v>
      </c>
      <c r="Q42" s="958" t="s">
        <v>2139</v>
      </c>
      <c r="R42" s="958" t="s">
        <v>2125</v>
      </c>
      <c r="S42" s="958"/>
      <c r="T42" s="844" t="s">
        <v>2140</v>
      </c>
      <c r="U42" s="844" t="s">
        <v>2140</v>
      </c>
      <c r="V42" s="844" t="s">
        <v>2140</v>
      </c>
      <c r="W42" s="844" t="s">
        <v>2140</v>
      </c>
      <c r="X42" s="844"/>
      <c r="Y42" s="1001"/>
      <c r="Z42" s="847" t="s">
        <v>2141</v>
      </c>
      <c r="AA42" s="847" t="s">
        <v>2141</v>
      </c>
      <c r="AB42" s="847" t="s">
        <v>2141</v>
      </c>
      <c r="AC42" s="847" t="s">
        <v>2141</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2142</v>
      </c>
      <c r="P43" s="958" t="s">
        <v>778</v>
      </c>
      <c r="Q43" s="958" t="s">
        <v>2142</v>
      </c>
      <c r="R43" s="958" t="s">
        <v>778</v>
      </c>
      <c r="S43" s="958"/>
      <c r="T43" s="844" t="s">
        <v>2143</v>
      </c>
      <c r="U43" s="844" t="s">
        <v>2143</v>
      </c>
      <c r="V43" s="844" t="s">
        <v>2143</v>
      </c>
      <c r="W43" s="844" t="s">
        <v>2143</v>
      </c>
      <c r="X43" s="844"/>
      <c r="Y43" s="1001"/>
      <c r="Z43" s="847" t="s">
        <v>2144</v>
      </c>
      <c r="AA43" s="847" t="s">
        <v>2144</v>
      </c>
      <c r="AB43" s="847" t="s">
        <v>2144</v>
      </c>
      <c r="AC43" s="847" t="s">
        <v>2144</v>
      </c>
      <c r="AD43" s="847"/>
    </row>
    <row customHeight="1" ht="27">
      <c r="A44" s="846"/>
      <c r="B44" s="900">
        <v>27</v>
      </c>
      <c r="C44" s="844" t="s">
        <v>2145</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2146</v>
      </c>
      <c r="P44" s="958" t="s">
        <v>2147</v>
      </c>
      <c r="Q44" s="958" t="s">
        <v>2146</v>
      </c>
      <c r="R44" s="958" t="s">
        <v>2147</v>
      </c>
      <c r="S44" s="958"/>
      <c r="T44" s="844" t="s">
        <v>2136</v>
      </c>
      <c r="U44" s="844" t="s">
        <v>2136</v>
      </c>
      <c r="V44" s="844" t="s">
        <v>2136</v>
      </c>
      <c r="W44" s="844" t="s">
        <v>2136</v>
      </c>
      <c r="X44" s="844"/>
      <c r="Y44" s="1001"/>
      <c r="Z44" s="847" t="s">
        <v>2148</v>
      </c>
      <c r="AA44" s="847" t="s">
        <v>2148</v>
      </c>
      <c r="AB44" s="847" t="s">
        <v>2148</v>
      </c>
      <c r="AC44" s="847" t="s">
        <v>2148</v>
      </c>
      <c r="AD44" s="847"/>
    </row>
    <row customHeight="1" ht="27">
      <c r="A45" s="846"/>
      <c r="B45" s="900">
        <v>28</v>
      </c>
      <c r="C45" s="844" t="s">
        <v>2149</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2150</v>
      </c>
      <c r="P45" s="958" t="s">
        <v>2151</v>
      </c>
      <c r="Q45" s="958" t="s">
        <v>2150</v>
      </c>
      <c r="R45" s="958" t="s">
        <v>2151</v>
      </c>
      <c r="S45" s="958"/>
      <c r="T45" s="844" t="s">
        <v>2140</v>
      </c>
      <c r="U45" s="844" t="s">
        <v>2140</v>
      </c>
      <c r="V45" s="844" t="s">
        <v>2140</v>
      </c>
      <c r="W45" s="844" t="s">
        <v>2140</v>
      </c>
      <c r="X45" s="844"/>
      <c r="Y45" s="1001"/>
      <c r="Z45" s="847" t="s">
        <v>2152</v>
      </c>
      <c r="AA45" s="847" t="s">
        <v>2152</v>
      </c>
      <c r="AB45" s="847" t="s">
        <v>2152</v>
      </c>
      <c r="AC45" s="847" t="s">
        <v>2152</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2153</v>
      </c>
      <c r="P46" s="958" t="s">
        <v>2131</v>
      </c>
      <c r="Q46" s="958" t="s">
        <v>2153</v>
      </c>
      <c r="R46" s="958" t="s">
        <v>2131</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4" t="s">
        <v>2154</v>
      </c>
      <c r="V46" s="844" t="s">
        <v>2154</v>
      </c>
      <c r="W46" s="844" t="s">
        <v>2154</v>
      </c>
      <c r="X46" s="844"/>
      <c r="Y46" s="1001"/>
      <c r="Z46" s="847" t="s">
        <v>2155</v>
      </c>
      <c r="AA46" s="847" t="s">
        <v>2156</v>
      </c>
      <c r="AB46" s="847" t="s">
        <v>2156</v>
      </c>
      <c r="AC46" s="847" t="s">
        <v>2156</v>
      </c>
      <c r="AD46" s="847"/>
    </row>
    <row customHeight="1" ht="54">
      <c r="A47" s="846"/>
      <c r="B47" s="900">
        <v>30</v>
      </c>
      <c r="C47" s="844" t="s">
        <v>2157</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2158</v>
      </c>
      <c r="P47" s="958" t="s">
        <v>2135</v>
      </c>
      <c r="Q47" s="958" t="s">
        <v>2158</v>
      </c>
      <c r="R47" s="958" t="s">
        <v>2135</v>
      </c>
      <c r="S47" s="958"/>
      <c r="T47" s="844" t="s">
        <v>2159</v>
      </c>
      <c r="U47" s="844" t="s">
        <v>2159</v>
      </c>
      <c r="V47" s="844" t="s">
        <v>2159</v>
      </c>
      <c r="W47" s="844" t="s">
        <v>2159</v>
      </c>
      <c r="X47" s="844"/>
      <c r="Y47" s="1001"/>
      <c r="Z47" s="847"/>
      <c r="AA47" s="850"/>
      <c r="AB47" s="850"/>
      <c r="AC47" s="850"/>
      <c r="AD47" s="847"/>
    </row>
    <row customHeight="1" ht="54">
      <c r="A48" s="846"/>
      <c r="B48" s="900">
        <v>31</v>
      </c>
      <c r="C48" s="844">
        <v>16</v>
      </c>
      <c r="D48" s="968"/>
      <c r="E48" s="844"/>
      <c r="F48" s="844"/>
      <c r="G48" s="844"/>
      <c r="H48" s="892"/>
      <c r="I48" s="1006">
        <f>INDEX(TEMPLATE_NUMBER_POINT_FHD,B48,MATCH(TEMPLATE_SPHERE,TEMPLATE_SPHERE_LIST_FOR_NOTE,0))</f>
        <v>0</v>
      </c>
      <c r="J48" s="1006">
        <f>INDEX(TEMPLATE_DATA_POINT_FHD,B48,MATCH(TEMPLATE_SPHERE,TEMPLATE_SPHERE_LIST_FOR_NOTE,0))</f>
        <v>0</v>
      </c>
      <c r="K48" s="1006">
        <f>INDEX(TEMPLATE_NOTE_POINT_FHD,B48,MATCH(TEMPLATE_SPHERE,TEMPLATE_SPHERE_LIST_FOR_NOTE,0))</f>
        <v>0</v>
      </c>
      <c r="L48" s="845" t="str">
        <f>IF(I48=0,"",I48)</f>
        <v/>
      </c>
      <c r="M48" s="845" t="str">
        <f>IF(J48=0,"",J48)</f>
        <v/>
      </c>
      <c r="N48" s="845" t="str">
        <f>IF(K48=0,"",K48)</f>
        <v/>
      </c>
      <c r="O48" s="958"/>
      <c r="P48" s="958" t="s">
        <v>2142</v>
      </c>
      <c r="Q48" s="958" t="s">
        <v>2160</v>
      </c>
      <c r="R48" s="958" t="s">
        <v>2142</v>
      </c>
      <c r="S48" s="958"/>
      <c r="T48" s="844"/>
      <c r="U48" s="844" t="s">
        <v>2161</v>
      </c>
      <c r="V48" s="844" t="s">
        <v>2162</v>
      </c>
      <c r="W48" s="844" t="s">
        <v>2162</v>
      </c>
      <c r="X48" s="844"/>
      <c r="Y48" s="1001"/>
      <c r="Z48" s="847"/>
      <c r="AA48" s="850" t="s">
        <v>2156</v>
      </c>
      <c r="AB48" s="850" t="s">
        <v>2156</v>
      </c>
      <c r="AC48" s="850" t="s">
        <v>2156</v>
      </c>
      <c r="AD48" s="847"/>
    </row>
    <row customHeight="1" ht="54">
      <c r="A49" s="846"/>
      <c r="B49" s="900">
        <v>32</v>
      </c>
      <c r="C49" s="844" t="s">
        <v>2163</v>
      </c>
      <c r="D49" s="968"/>
      <c r="E49" s="844"/>
      <c r="F49" s="844"/>
      <c r="G49" s="844"/>
      <c r="H49" s="892"/>
      <c r="I49" s="1006">
        <f>INDEX(TEMPLATE_NUMBER_POINT_FHD,B49,MATCH(TEMPLATE_SPHERE,TEMPLATE_SPHERE_LIST_FOR_NOTE,0))</f>
        <v>0</v>
      </c>
      <c r="J49" s="1006">
        <f>INDEX(TEMPLATE_DATA_POINT_FHD,B49,MATCH(TEMPLATE_SPHERE,TEMPLATE_SPHERE_LIST_FOR_NOTE,0))</f>
        <v>0</v>
      </c>
      <c r="K49" s="1006">
        <f>INDEX(TEMPLATE_NOTE_POINT_FHD,B49,MATCH(TEMPLATE_SPHERE,TEMPLATE_SPHERE_LIST_FOR_NOTE,0))</f>
        <v>0</v>
      </c>
      <c r="L49" s="845" t="str">
        <f>IF(I49=0,"",I49)</f>
        <v/>
      </c>
      <c r="M49" s="845" t="str">
        <f>IF(J49=0,"",J49)</f>
        <v/>
      </c>
      <c r="N49" s="845" t="str">
        <f>IF(K49=0,"",K49)</f>
        <v/>
      </c>
      <c r="O49" s="958"/>
      <c r="P49" s="958" t="s">
        <v>2146</v>
      </c>
      <c r="Q49" s="958" t="s">
        <v>2164</v>
      </c>
      <c r="R49" s="958" t="s">
        <v>2146</v>
      </c>
      <c r="S49" s="958"/>
      <c r="T49" s="844"/>
      <c r="U49" s="844" t="s">
        <v>2159</v>
      </c>
      <c r="V49" s="844" t="s">
        <v>2159</v>
      </c>
      <c r="W49" s="844" t="s">
        <v>2159</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2.13</v>
      </c>
      <c r="J50" s="100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5" t="str">
        <f>IF(I50=0,"",I50)</f>
        <v>2.13</v>
      </c>
      <c r="M50" s="84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8" t="s">
        <v>2160</v>
      </c>
      <c r="P50" s="958" t="s">
        <v>2153</v>
      </c>
      <c r="Q50" s="958" t="s">
        <v>2165</v>
      </c>
      <c r="R50" s="958" t="s">
        <v>2153</v>
      </c>
      <c r="S50" s="958"/>
      <c r="T50" s="844" t="s">
        <v>2166</v>
      </c>
      <c r="U50" s="844" t="s">
        <v>2167</v>
      </c>
      <c r="V50" s="844" t="s">
        <v>2168</v>
      </c>
      <c r="W50" s="844" t="s">
        <v>2169</v>
      </c>
      <c r="X50" s="844"/>
      <c r="Y50" s="1001"/>
      <c r="Z50" s="847" t="s">
        <v>2170</v>
      </c>
      <c r="AA50" s="850" t="s">
        <v>2171</v>
      </c>
      <c r="AB50" s="850" t="s">
        <v>2171</v>
      </c>
      <c r="AC50" s="850" t="s">
        <v>2171</v>
      </c>
      <c r="AD50" s="847"/>
    </row>
    <row customHeight="1" ht="27">
      <c r="A51" s="846"/>
      <c r="B51" s="900">
        <v>34</v>
      </c>
      <c r="C51" s="844" t="s">
        <v>2172</v>
      </c>
      <c r="D51" s="968"/>
      <c r="E51" s="844"/>
      <c r="F51" s="844"/>
      <c r="G51" s="844"/>
      <c r="H51" s="892"/>
      <c r="I51" s="1006" t="str">
        <f>INDEX(TEMPLATE_NUMBER_POINT_FHD,B51,MATCH(TEMPLATE_SPHERE,TEMPLATE_SPHERE_LIST_FOR_NOTE,0))</f>
        <v>3</v>
      </c>
      <c r="J51" s="100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6">
        <f>INDEX(TEMPLATE_NOTE_POINT_FHD,B51,MATCH(TEMPLATE_SPHERE,TEMPLATE_SPHERE_LIST_FOR_NOTE,0))</f>
        <v>0</v>
      </c>
      <c r="L51" s="845" t="str">
        <f>IF(I51=0,"",I51)</f>
        <v>3</v>
      </c>
      <c r="M51" s="845" t="str">
        <f>IF(J51=0,"",J51)</f>
        <v>Валовая прибыль (убытки) от реализации товаров и оказания услуг по регулируемому виду деятельности</v>
      </c>
      <c r="N51" s="845" t="str">
        <f>IF(K51=0,"",K51)</f>
        <v/>
      </c>
      <c r="O51" s="958" t="s">
        <v>93</v>
      </c>
      <c r="P51" s="958"/>
      <c r="Q51" s="958"/>
      <c r="R51" s="958"/>
      <c r="S51" s="958"/>
      <c r="T51" s="844" t="s">
        <v>2173</v>
      </c>
      <c r="U51" s="844"/>
      <c r="V51" s="844"/>
      <c r="W51" s="844"/>
      <c r="X51" s="844"/>
      <c r="Y51" s="1001"/>
      <c r="Z51" s="847"/>
      <c r="AA51" s="850"/>
      <c r="AB51" s="850"/>
      <c r="AC51" s="850"/>
      <c r="AD51" s="847"/>
    </row>
    <row customHeight="1" ht="36">
      <c r="A52" s="846"/>
      <c r="B52" s="900">
        <v>35</v>
      </c>
      <c r="C52" s="844" t="s">
        <v>2066</v>
      </c>
      <c r="D52" s="968" t="s">
        <v>2066</v>
      </c>
      <c r="E52" s="844" t="s">
        <v>2066</v>
      </c>
      <c r="F52" s="844" t="s">
        <v>2066</v>
      </c>
      <c r="G52" s="844"/>
      <c r="H52" s="892"/>
      <c r="I52" s="1006" t="str">
        <f>INDEX(TEMPLATE_NUMBER_POINT_FHD,B52,MATCH(TEMPLATE_SPHERE,TEMPLATE_SPHERE_LIST_FOR_NOTE,0))</f>
        <v>4</v>
      </c>
      <c r="J52" s="1006" t="str">
        <f>INDEX(TEMPLATE_DATA_POINT_FHD,B52,MATCH(TEMPLATE_SPHERE,TEMPLATE_SPHERE_LIST_FOR_NOTE,0))</f>
        <v>Чистая прибыль, полученная от регулируемого вида деятельности,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4</v>
      </c>
      <c r="M52" s="845" t="str">
        <f>IF(J52=0,"",J52)</f>
        <v>Чистая прибыль, полученная от регулируемого вида деятельности, в том числе:</v>
      </c>
      <c r="N52" s="845" t="str">
        <f>IF(K52=0,"",K52)</f>
        <v>Указывается общая сумма чистой прибыли, полученной от регулируемого вида деятельности.</v>
      </c>
      <c r="O52" s="958" t="s">
        <v>94</v>
      </c>
      <c r="P52" s="958" t="s">
        <v>93</v>
      </c>
      <c r="Q52" s="958" t="s">
        <v>93</v>
      </c>
      <c r="R52" s="958" t="s">
        <v>93</v>
      </c>
      <c r="S52" s="958"/>
      <c r="T52" s="844" t="s">
        <v>2174</v>
      </c>
      <c r="U52" s="844" t="s">
        <v>2175</v>
      </c>
      <c r="V52" s="844" t="s">
        <v>2176</v>
      </c>
      <c r="W52" s="844" t="s">
        <v>2177</v>
      </c>
      <c r="X52" s="844"/>
      <c r="Y52" s="1001"/>
      <c r="Z52" s="847" t="s">
        <v>782</v>
      </c>
      <c r="AA52" s="850" t="s">
        <v>782</v>
      </c>
      <c r="AB52" s="850" t="s">
        <v>782</v>
      </c>
      <c r="AC52" s="850" t="s">
        <v>782</v>
      </c>
      <c r="AD52" s="847"/>
    </row>
    <row customHeight="1" ht="36">
      <c r="A53" s="846"/>
      <c r="B53" s="900">
        <v>36</v>
      </c>
      <c r="C53" s="844">
        <v>1</v>
      </c>
      <c r="D53" s="968"/>
      <c r="E53" s="844"/>
      <c r="F53" s="844"/>
      <c r="G53" s="844"/>
      <c r="H53" s="892"/>
      <c r="I53" s="1006" t="str">
        <f>INDEX(TEMPLATE_NUMBER_POINT_FHD,B53,MATCH(TEMPLATE_SPHERE,TEMPLATE_SPHERE_LIST_FOR_NOTE,0))</f>
        <v>4.1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4.1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786</v>
      </c>
      <c r="P53" s="958" t="s">
        <v>357</v>
      </c>
      <c r="Q53" s="958" t="s">
        <v>357</v>
      </c>
      <c r="R53" s="958" t="s">
        <v>357</v>
      </c>
      <c r="S53" s="958"/>
      <c r="T53" s="844" t="s">
        <v>2178</v>
      </c>
      <c r="U53" s="844" t="s">
        <v>2178</v>
      </c>
      <c r="V53" s="844" t="s">
        <v>2178</v>
      </c>
      <c r="W53" s="844" t="s">
        <v>2178</v>
      </c>
      <c r="X53" s="844"/>
      <c r="Y53" s="1001"/>
      <c r="Z53" s="847"/>
      <c r="AA53" s="850"/>
      <c r="AB53" s="847"/>
      <c r="AC53" s="847"/>
      <c r="AD53" s="847"/>
    </row>
    <row customHeight="1" ht="18">
      <c r="A54" s="846"/>
      <c r="B54" s="900">
        <v>37</v>
      </c>
      <c r="C54" s="844" t="s">
        <v>2072</v>
      </c>
      <c r="D54" s="968" t="s">
        <v>2072</v>
      </c>
      <c r="E54" s="844" t="s">
        <v>2072</v>
      </c>
      <c r="F54" s="844" t="s">
        <v>2072</v>
      </c>
      <c r="G54" s="844"/>
      <c r="H54" s="892"/>
      <c r="I54" s="1006" t="str">
        <f>INDEX(TEMPLATE_NUMBER_POINT_FHD,B54,MATCH(TEMPLATE_SPHERE,TEMPLATE_SPHERE_LIST_FOR_NOTE,0))</f>
        <v>5</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5</v>
      </c>
      <c r="M54" s="845" t="str">
        <f>IF(J54=0,"",J54)</f>
        <v>Изменение стоимости основных фондов, в том числе:</v>
      </c>
      <c r="N54" s="845" t="str">
        <f>IF(K54=0,"",K54)</f>
        <v>Указывается общее изменение стоимости основных фондов.</v>
      </c>
      <c r="O54" s="958" t="s">
        <v>125</v>
      </c>
      <c r="P54" s="958" t="s">
        <v>94</v>
      </c>
      <c r="Q54" s="958" t="s">
        <v>94</v>
      </c>
      <c r="R54" s="958" t="s">
        <v>94</v>
      </c>
      <c r="S54" s="958"/>
      <c r="T54" s="844" t="s">
        <v>784</v>
      </c>
      <c r="U54" s="844" t="s">
        <v>784</v>
      </c>
      <c r="V54" s="844" t="s">
        <v>784</v>
      </c>
      <c r="W54" s="844" t="s">
        <v>784</v>
      </c>
      <c r="X54" s="844"/>
      <c r="Y54" s="1001"/>
      <c r="Z54" s="847" t="s">
        <v>785</v>
      </c>
      <c r="AA54" s="847" t="s">
        <v>785</v>
      </c>
      <c r="AB54" s="847" t="s">
        <v>785</v>
      </c>
      <c r="AC54" s="847" t="s">
        <v>785</v>
      </c>
      <c r="AD54" s="847"/>
    </row>
    <row customHeight="1" ht="36">
      <c r="A55" s="846"/>
      <c r="B55" s="900">
        <v>38</v>
      </c>
      <c r="C55" s="844">
        <v>1</v>
      </c>
      <c r="D55" s="968"/>
      <c r="E55" s="844"/>
      <c r="F55" s="844"/>
      <c r="G55" s="844"/>
      <c r="H55" s="892"/>
      <c r="I55" s="1006" t="str">
        <f>INDEX(TEMPLATE_NUMBER_POINT_FHD,B55,MATCH(TEMPLATE_SPHERE,TEMPLATE_SPHERE_LIST_FOR_NOTE,0))</f>
        <v>5.1</v>
      </c>
      <c r="J55" s="1006" t="str">
        <f>INDEX(TEMPLATE_DATA_POINT_FHD,B55,MATCH(TEMPLATE_SPHERE,TEMPLATE_SPHERE_LIST_FOR_NOTE,0))</f>
        <v>Изменение стоимости основных фондов за счет:</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5.1</v>
      </c>
      <c r="M55" s="845" t="str">
        <f>IF(J55=0,"",J55)</f>
        <v>Изменение стоимости основных фондов за счет:</v>
      </c>
      <c r="N55" s="845" t="str">
        <f>IF(K55=0,"",K55)</f>
        <v>Указываются общее изменение стоимости основных фондов за счет их ввода в эксплуатацию и вывода из эксплуатации.</v>
      </c>
      <c r="O55" s="958" t="s">
        <v>346</v>
      </c>
      <c r="P55" s="958" t="s">
        <v>786</v>
      </c>
      <c r="Q55" s="958" t="s">
        <v>786</v>
      </c>
      <c r="R55" s="958" t="s">
        <v>786</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4" t="s">
        <v>2179</v>
      </c>
      <c r="V55" s="844" t="s">
        <v>2179</v>
      </c>
      <c r="W55" s="844" t="s">
        <v>2179</v>
      </c>
      <c r="X55" s="844"/>
      <c r="Y55" s="1001"/>
      <c r="Z55" s="847" t="s">
        <v>2180</v>
      </c>
      <c r="AA55" s="847" t="s">
        <v>2180</v>
      </c>
      <c r="AB55" s="847" t="s">
        <v>2180</v>
      </c>
      <c r="AC55" s="847" t="s">
        <v>2180</v>
      </c>
      <c r="AD55" s="847"/>
    </row>
    <row customHeight="1" ht="27">
      <c r="A56" s="846"/>
      <c r="B56" s="900">
        <v>39</v>
      </c>
      <c r="C56" s="844" t="s">
        <v>1054</v>
      </c>
      <c r="D56" s="968"/>
      <c r="E56" s="844"/>
      <c r="F56" s="844"/>
      <c r="G56" s="844"/>
      <c r="H56" s="892"/>
      <c r="I56" s="1006" t="str">
        <f>INDEX(TEMPLATE_NUMBER_POINT_FHD,B56,MATCH(TEMPLATE_SPHERE,TEMPLATE_SPHERE_LIST_FOR_NOTE,0))</f>
        <v>5.1.1</v>
      </c>
      <c r="J56" s="1006" t="str">
        <f>INDEX(TEMPLATE_DATA_POINT_FHD,B56,MATCH(TEMPLATE_SPHERE,TEMPLATE_SPHERE_LIST_FOR_NOTE,0))</f>
        <v>Изменения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5.1.1</v>
      </c>
      <c r="M56" s="845" t="str">
        <f>IF(J56=0,"",J56)</f>
        <v>Изменения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1175</v>
      </c>
      <c r="P56" s="958" t="s">
        <v>789</v>
      </c>
      <c r="Q56" s="958" t="s">
        <v>789</v>
      </c>
      <c r="R56" s="958" t="s">
        <v>789</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4" t="s">
        <v>2181</v>
      </c>
      <c r="V56" s="844" t="s">
        <v>2181</v>
      </c>
      <c r="W56" s="844" t="s">
        <v>2181</v>
      </c>
      <c r="X56" s="844"/>
      <c r="Y56" s="1001"/>
      <c r="Z56" s="847" t="s">
        <v>791</v>
      </c>
      <c r="AA56" s="847" t="s">
        <v>791</v>
      </c>
      <c r="AB56" s="847" t="s">
        <v>791</v>
      </c>
      <c r="AC56" s="847" t="s">
        <v>791</v>
      </c>
      <c r="AD56" s="847"/>
    </row>
    <row customHeight="1" ht="27">
      <c r="A57" s="846"/>
      <c r="B57" s="900">
        <v>40</v>
      </c>
      <c r="C57" s="844" t="s">
        <v>1056</v>
      </c>
      <c r="D57" s="968"/>
      <c r="E57" s="844"/>
      <c r="F57" s="844"/>
      <c r="G57" s="844"/>
      <c r="H57" s="892"/>
      <c r="I57" s="1006" t="str">
        <f>INDEX(TEMPLATE_NUMBER_POINT_FHD,B57,MATCH(TEMPLATE_SPHERE,TEMPLATE_SPHERE_LIST_FOR_NOTE,0))</f>
        <v>5.1.2</v>
      </c>
      <c r="J57" s="1006" t="str">
        <f>INDEX(TEMPLATE_DATA_POINT_FHD,B57,MATCH(TEMPLATE_SPHERE,TEMPLATE_SPHERE_LIST_FOR_NOTE,0))</f>
        <v>Изменения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5.1.2</v>
      </c>
      <c r="M57" s="845" t="str">
        <f>IF(J57=0,"",J57)</f>
        <v>Изменения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2182</v>
      </c>
      <c r="P57" s="958" t="s">
        <v>792</v>
      </c>
      <c r="Q57" s="958" t="s">
        <v>792</v>
      </c>
      <c r="R57" s="958" t="s">
        <v>792</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4" t="s">
        <v>2183</v>
      </c>
      <c r="V57" s="844" t="s">
        <v>2183</v>
      </c>
      <c r="W57" s="844" t="s">
        <v>2183</v>
      </c>
      <c r="X57" s="844"/>
      <c r="Y57" s="1001"/>
      <c r="Z57" s="847" t="s">
        <v>794</v>
      </c>
      <c r="AA57" s="847" t="s">
        <v>794</v>
      </c>
      <c r="AB57" s="847" t="s">
        <v>794</v>
      </c>
      <c r="AC57" s="847" t="s">
        <v>794</v>
      </c>
      <c r="AD57" s="847"/>
    </row>
    <row customHeight="1" ht="18">
      <c r="A58" s="846"/>
      <c r="B58" s="900">
        <v>41</v>
      </c>
      <c r="C58" s="844">
        <v>2</v>
      </c>
      <c r="D58" s="968"/>
      <c r="E58" s="844"/>
      <c r="F58" s="844"/>
      <c r="G58" s="844"/>
      <c r="H58" s="892"/>
      <c r="I58" s="1006" t="str">
        <f>INDEX(TEMPLATE_NUMBER_POINT_FHD,B58,MATCH(TEMPLATE_SPHERE,TEMPLATE_SPHERE_LIST_FOR_NOTE,0))</f>
        <v>5.2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5.2</v>
      </c>
      <c r="M58" s="845" t="str">
        <f>IF(J58=0,"",J58)</f>
        <v>Изменение стоимости основных фондов за счет их переоценки</v>
      </c>
      <c r="N58" s="845" t="str">
        <f>IF(K58=0,"",K58)</f>
        <v/>
      </c>
      <c r="O58" s="958" t="s">
        <v>914</v>
      </c>
      <c r="P58" s="958" t="s">
        <v>828</v>
      </c>
      <c r="Q58" s="958" t="s">
        <v>828</v>
      </c>
      <c r="R58" s="958" t="s">
        <v>828</v>
      </c>
      <c r="S58" s="958"/>
      <c r="T58" s="84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4" t="s">
        <v>2184</v>
      </c>
      <c r="V58" s="844" t="s">
        <v>2184</v>
      </c>
      <c r="W58" s="844" t="s">
        <v>2184</v>
      </c>
      <c r="X58" s="844"/>
      <c r="Y58" s="1001"/>
      <c r="Z58" s="847"/>
      <c r="AA58" s="850"/>
      <c r="AB58" s="847"/>
      <c r="AC58" s="847"/>
      <c r="AD58" s="847"/>
    </row>
    <row customHeight="1" ht="36">
      <c r="A59" s="846"/>
      <c r="B59" s="900">
        <v>42</v>
      </c>
      <c r="C59" s="844">
        <v>3</v>
      </c>
      <c r="D59" s="968" t="s">
        <v>2172</v>
      </c>
      <c r="E59" s="844" t="s">
        <v>2172</v>
      </c>
      <c r="F59" s="844" t="s">
        <v>2172</v>
      </c>
      <c r="G59" s="844"/>
      <c r="H59" s="892"/>
      <c r="I59" s="1006">
        <f>INDEX(TEMPLATE_NUMBER_POINT_FHD,B59,MATCH(TEMPLATE_SPHERE,TEMPLATE_SPHERE_LIST_FOR_NOTE,0))</f>
        <v>0</v>
      </c>
      <c r="J59" s="1006">
        <f>INDEX(TEMPLATE_DATA_POINT_FHD,B59,MATCH(TEMPLATE_SPHERE,TEMPLATE_SPHERE_LIST_FOR_NOTE,0))</f>
        <v>0</v>
      </c>
      <c r="K59" s="1006">
        <f>INDEX(TEMPLATE_NOTE_POINT_FHD,B59,MATCH(TEMPLATE_SPHERE,TEMPLATE_SPHERE_LIST_FOR_NOTE,0))</f>
        <v>0</v>
      </c>
      <c r="L59" s="845" t="str">
        <f>IF(I59=0,"",I59)</f>
        <v/>
      </c>
      <c r="M59" s="845" t="str">
        <f>IF(J59=0,"",J59)</f>
        <v/>
      </c>
      <c r="N59" s="845" t="str">
        <f>IF(K59=0,"",K59)</f>
        <v/>
      </c>
      <c r="O59" s="958"/>
      <c r="P59" s="958" t="s">
        <v>125</v>
      </c>
      <c r="Q59" s="958" t="s">
        <v>125</v>
      </c>
      <c r="R59" s="958" t="s">
        <v>125</v>
      </c>
      <c r="S59" s="958"/>
      <c r="T59" s="844"/>
      <c r="U59" s="844" t="s">
        <v>2185</v>
      </c>
      <c r="V59" s="844" t="s">
        <v>2186</v>
      </c>
      <c r="W59" s="844" t="s">
        <v>2187</v>
      </c>
      <c r="X59" s="844"/>
      <c r="Y59" s="1001"/>
      <c r="Z59" s="847"/>
      <c r="AA59" s="850"/>
      <c r="AB59" s="847"/>
      <c r="AC59" s="847"/>
      <c r="AD59" s="847"/>
    </row>
    <row customHeight="1" ht="81">
      <c r="A60" s="846"/>
      <c r="B60" s="900">
        <v>43</v>
      </c>
      <c r="C60" s="844" t="s">
        <v>2188</v>
      </c>
      <c r="D60" s="968" t="s">
        <v>2188</v>
      </c>
      <c r="E60" s="844" t="s">
        <v>2188</v>
      </c>
      <c r="F60" s="844" t="s">
        <v>2188</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8" t="s">
        <v>95</v>
      </c>
      <c r="P60" s="958" t="s">
        <v>95</v>
      </c>
      <c r="Q60" s="958" t="s">
        <v>95</v>
      </c>
      <c r="R60" s="958" t="s">
        <v>95</v>
      </c>
      <c r="S60" s="958"/>
      <c r="T60" s="844" t="s">
        <v>662</v>
      </c>
      <c r="U60" s="844" t="s">
        <v>662</v>
      </c>
      <c r="V60" s="844" t="s">
        <v>662</v>
      </c>
      <c r="W60" s="844" t="s">
        <v>662</v>
      </c>
      <c r="X60" s="844"/>
      <c r="Y60" s="1001"/>
      <c r="Z60" s="847" t="s">
        <v>2189</v>
      </c>
      <c r="AA60" s="850" t="s">
        <v>2190</v>
      </c>
      <c r="AB60" s="847" t="s">
        <v>2191</v>
      </c>
      <c r="AC60" s="847" t="s">
        <v>2190</v>
      </c>
      <c r="AD60" s="847"/>
    </row>
    <row customHeight="1" ht="9">
      <c r="A61" s="846"/>
      <c r="B61" s="900">
        <v>44</v>
      </c>
      <c r="C61" s="844"/>
      <c r="D61" s="968" t="s">
        <v>2192</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96</v>
      </c>
      <c r="Q61" s="958"/>
      <c r="R61" s="958"/>
      <c r="S61" s="958"/>
      <c r="T61" s="844"/>
      <c r="U61" s="844" t="s">
        <v>2193</v>
      </c>
      <c r="V61" s="844"/>
      <c r="W61" s="844"/>
      <c r="X61" s="844"/>
      <c r="Y61" s="1001"/>
      <c r="Z61" s="847"/>
      <c r="AA61" s="850"/>
      <c r="AB61" s="847"/>
      <c r="AC61" s="847"/>
      <c r="AD61" s="847"/>
    </row>
    <row customHeight="1" ht="9">
      <c r="A62" s="846"/>
      <c r="B62" s="900">
        <v>45</v>
      </c>
      <c r="C62" s="844"/>
      <c r="D62" s="968" t="s">
        <v>2194</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126</v>
      </c>
      <c r="Q62" s="958"/>
      <c r="R62" s="958"/>
      <c r="S62" s="958"/>
      <c r="T62" s="844"/>
      <c r="U62" s="844" t="s">
        <v>2195</v>
      </c>
      <c r="V62" s="844"/>
      <c r="W62" s="844"/>
      <c r="X62" s="844"/>
      <c r="Y62" s="1001"/>
      <c r="Z62" s="847"/>
      <c r="AA62" s="850"/>
      <c r="AB62" s="847"/>
      <c r="AC62" s="847"/>
      <c r="AD62" s="847"/>
    </row>
    <row customHeight="1" ht="18">
      <c r="A63" s="846"/>
      <c r="B63" s="900">
        <v>46</v>
      </c>
      <c r="C63" s="844"/>
      <c r="D63" s="968" t="s">
        <v>2196</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162</v>
      </c>
      <c r="Q63" s="958"/>
      <c r="R63" s="958"/>
      <c r="S63" s="958"/>
      <c r="T63" s="844"/>
      <c r="U63" s="844" t="s">
        <v>2197</v>
      </c>
      <c r="V63" s="844"/>
      <c r="W63" s="844"/>
      <c r="X63" s="844"/>
      <c r="Y63" s="1001"/>
      <c r="Z63" s="847"/>
      <c r="AA63" s="850"/>
      <c r="AB63" s="847"/>
      <c r="AC63" s="847"/>
      <c r="AD63" s="847"/>
    </row>
    <row customHeight="1" ht="18">
      <c r="A64" s="846"/>
      <c r="B64" s="900">
        <v>47</v>
      </c>
      <c r="C64" s="844"/>
      <c r="D64" s="968" t="s">
        <v>2198</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163</v>
      </c>
      <c r="Q64" s="958"/>
      <c r="R64" s="958"/>
      <c r="S64" s="958"/>
      <c r="T64" s="844"/>
      <c r="U64" s="844" t="s">
        <v>2199</v>
      </c>
      <c r="V64" s="844"/>
      <c r="W64" s="844"/>
      <c r="X64" s="844"/>
      <c r="Y64" s="1001"/>
      <c r="Z64" s="847"/>
      <c r="AA64" s="850" t="s">
        <v>2200</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2113</v>
      </c>
      <c r="Q65" s="958"/>
      <c r="R65" s="958"/>
      <c r="S65" s="958"/>
      <c r="T65" s="844"/>
      <c r="U65" s="844" t="s">
        <v>2201</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2117</v>
      </c>
      <c r="Q66" s="958"/>
      <c r="R66" s="958"/>
      <c r="S66" s="958"/>
      <c r="T66" s="844"/>
      <c r="U66" s="844" t="s">
        <v>2202</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2203</v>
      </c>
      <c r="Q67" s="958"/>
      <c r="R67" s="958"/>
      <c r="S67" s="958"/>
      <c r="T67" s="844"/>
      <c r="U67" s="844" t="s">
        <v>2204</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2205</v>
      </c>
      <c r="Q68" s="958"/>
      <c r="R68" s="958"/>
      <c r="S68" s="958"/>
      <c r="T68" s="844"/>
      <c r="U68" s="844" t="s">
        <v>2206</v>
      </c>
      <c r="V68" s="844"/>
      <c r="W68" s="844"/>
      <c r="X68" s="844"/>
      <c r="Y68" s="1001"/>
      <c r="Z68" s="847"/>
      <c r="AA68" s="850"/>
      <c r="AB68" s="847"/>
      <c r="AC68" s="847"/>
      <c r="AD68" s="847"/>
    </row>
    <row customHeight="1" ht="9">
      <c r="A69" s="846"/>
      <c r="B69" s="900">
        <v>52</v>
      </c>
      <c r="C69" s="844"/>
      <c r="D69" s="968" t="s">
        <v>2207</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164</v>
      </c>
      <c r="Q69" s="958"/>
      <c r="R69" s="958"/>
      <c r="S69" s="958"/>
      <c r="T69" s="844"/>
      <c r="U69" s="844" t="s">
        <v>2208</v>
      </c>
      <c r="V69" s="844"/>
      <c r="W69" s="844"/>
      <c r="X69" s="844"/>
      <c r="Y69" s="1001"/>
      <c r="Z69" s="847"/>
      <c r="AA69" s="850"/>
      <c r="AB69" s="847"/>
      <c r="AC69" s="847"/>
      <c r="AD69" s="847"/>
    </row>
    <row customHeight="1" ht="27">
      <c r="A70" s="846"/>
      <c r="B70" s="900">
        <v>53</v>
      </c>
      <c r="C70" s="844"/>
      <c r="D70" s="968"/>
      <c r="E70" s="844" t="s">
        <v>2192</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96</v>
      </c>
      <c r="R70" s="958"/>
      <c r="S70" s="958"/>
      <c r="T70" s="844"/>
      <c r="U70" s="844"/>
      <c r="V70" s="844" t="s">
        <v>2209</v>
      </c>
      <c r="W70" s="844"/>
      <c r="X70" s="844"/>
      <c r="Y70" s="1001"/>
      <c r="Z70" s="847"/>
      <c r="AA70" s="850"/>
      <c r="AB70" s="847"/>
      <c r="AC70" s="847"/>
      <c r="AD70" s="847"/>
    </row>
    <row customHeight="1" ht="36">
      <c r="A71" s="846"/>
      <c r="B71" s="900">
        <v>54</v>
      </c>
      <c r="C71" s="844"/>
      <c r="D71" s="968"/>
      <c r="E71" s="844" t="s">
        <v>2194</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126</v>
      </c>
      <c r="R71" s="958"/>
      <c r="S71" s="958"/>
      <c r="T71" s="844"/>
      <c r="U71" s="844"/>
      <c r="V71" s="844" t="s">
        <v>2210</v>
      </c>
      <c r="W71" s="844"/>
      <c r="X71" s="844"/>
      <c r="Y71" s="1001"/>
      <c r="Z71" s="847"/>
      <c r="AA71" s="850"/>
      <c r="AB71" s="847"/>
      <c r="AC71" s="847"/>
      <c r="AD71" s="847"/>
    </row>
    <row customHeight="1" ht="27">
      <c r="A72" s="846"/>
      <c r="B72" s="900">
        <v>55</v>
      </c>
      <c r="C72" s="844"/>
      <c r="D72" s="968"/>
      <c r="E72" s="844" t="s">
        <v>2196</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162</v>
      </c>
      <c r="R72" s="958"/>
      <c r="S72" s="958"/>
      <c r="T72" s="844"/>
      <c r="U72" s="844"/>
      <c r="V72" s="844" t="s">
        <v>2211</v>
      </c>
      <c r="W72" s="844"/>
      <c r="X72" s="844"/>
      <c r="Y72" s="1001"/>
      <c r="Z72" s="847"/>
      <c r="AA72" s="850"/>
      <c r="AB72" s="847"/>
      <c r="AC72" s="847"/>
      <c r="AD72" s="847"/>
    </row>
    <row customHeight="1" ht="36">
      <c r="A73" s="846"/>
      <c r="B73" s="900">
        <v>56</v>
      </c>
      <c r="C73" s="844"/>
      <c r="D73" s="968"/>
      <c r="E73" s="844" t="s">
        <v>2198</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163</v>
      </c>
      <c r="R73" s="958"/>
      <c r="S73" s="958"/>
      <c r="T73" s="844"/>
      <c r="U73" s="844"/>
      <c r="V73" s="844" t="s">
        <v>2212</v>
      </c>
      <c r="W73" s="844"/>
      <c r="X73" s="844"/>
      <c r="Y73" s="1001"/>
      <c r="Z73" s="847"/>
      <c r="AA73" s="850"/>
      <c r="AB73" s="847"/>
      <c r="AC73" s="847"/>
      <c r="AD73" s="847"/>
    </row>
    <row customHeight="1" ht="18">
      <c r="A74" s="846"/>
      <c r="B74" s="900">
        <v>57</v>
      </c>
      <c r="C74" s="844"/>
      <c r="D74" s="968"/>
      <c r="E74" s="844" t="s">
        <v>2207</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164</v>
      </c>
      <c r="R74" s="958"/>
      <c r="S74" s="958"/>
      <c r="T74" s="844"/>
      <c r="U74" s="844"/>
      <c r="V74" s="844" t="s">
        <v>2213</v>
      </c>
      <c r="W74" s="844"/>
      <c r="X74" s="844"/>
      <c r="Y74" s="1001"/>
      <c r="Z74" s="847"/>
      <c r="AA74" s="850"/>
      <c r="AB74" s="847"/>
      <c r="AC74" s="847"/>
      <c r="AD74" s="847"/>
    </row>
    <row customHeight="1" ht="18">
      <c r="A75" s="846"/>
      <c r="B75" s="900">
        <v>58</v>
      </c>
      <c r="C75" s="844"/>
      <c r="D75" s="968"/>
      <c r="E75" s="844"/>
      <c r="F75" s="844" t="s">
        <v>2192</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96</v>
      </c>
      <c r="S75" s="958"/>
      <c r="T75" s="844"/>
      <c r="U75" s="844"/>
      <c r="V75" s="844"/>
      <c r="W75" s="844" t="s">
        <v>2214</v>
      </c>
      <c r="X75" s="844"/>
      <c r="Y75" s="1001"/>
      <c r="Z75" s="847"/>
      <c r="AA75" s="850"/>
      <c r="AB75" s="847"/>
      <c r="AC75" s="847"/>
      <c r="AD75" s="847"/>
    </row>
    <row customHeight="1" ht="36">
      <c r="A76" s="846"/>
      <c r="B76" s="900">
        <v>59</v>
      </c>
      <c r="C76" s="844"/>
      <c r="D76" s="968"/>
      <c r="E76" s="844"/>
      <c r="F76" s="844" t="s">
        <v>2194</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126</v>
      </c>
      <c r="S76" s="958"/>
      <c r="T76" s="844"/>
      <c r="U76" s="844"/>
      <c r="V76" s="844"/>
      <c r="W76" s="844" t="s">
        <v>2215</v>
      </c>
      <c r="X76" s="844"/>
      <c r="Y76" s="1001"/>
      <c r="Z76" s="847"/>
      <c r="AA76" s="850"/>
      <c r="AB76" s="847"/>
      <c r="AC76" s="847"/>
      <c r="AD76" s="847"/>
    </row>
    <row customHeight="1" ht="18">
      <c r="A77" s="846"/>
      <c r="B77" s="900">
        <v>60</v>
      </c>
      <c r="C77" s="844"/>
      <c r="D77" s="968"/>
      <c r="E77" s="844"/>
      <c r="F77" s="844" t="s">
        <v>2196</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162</v>
      </c>
      <c r="S77" s="958"/>
      <c r="T77" s="844"/>
      <c r="U77" s="844"/>
      <c r="V77" s="844"/>
      <c r="W77" s="844" t="s">
        <v>2216</v>
      </c>
      <c r="X77" s="844"/>
      <c r="Y77" s="1001"/>
      <c r="Z77" s="847"/>
      <c r="AA77" s="850"/>
      <c r="AB77" s="847"/>
      <c r="AC77" s="847"/>
      <c r="AD77" s="847"/>
    </row>
    <row customHeight="1" ht="72">
      <c r="A78" s="846"/>
      <c r="B78" s="900">
        <v>61</v>
      </c>
      <c r="C78" s="844" t="s">
        <v>2192</v>
      </c>
      <c r="D78" s="968"/>
      <c r="E78" s="844"/>
      <c r="F78" s="844"/>
      <c r="G78" s="844"/>
      <c r="H78" s="892"/>
      <c r="I78" s="1006" t="str">
        <f>INDEX(TEMPLATE_NUMBER_POINT_FHD,B78,MATCH(TEMPLATE_SPHERE,TEMPLATE_SPHERE_LIST_FOR_NOTE,0))</f>
        <v>7</v>
      </c>
      <c r="J78" s="100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5" t="str">
        <f>IF(I78=0,"",I78)</f>
        <v>7</v>
      </c>
      <c r="M78" s="84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8" t="s">
        <v>96</v>
      </c>
      <c r="P78" s="958"/>
      <c r="Q78" s="958"/>
      <c r="R78" s="958"/>
      <c r="S78" s="958"/>
      <c r="T78" s="844" t="s">
        <v>667</v>
      </c>
      <c r="U78" s="844"/>
      <c r="V78" s="844"/>
      <c r="W78" s="844"/>
      <c r="X78" s="844"/>
      <c r="Y78" s="1001"/>
      <c r="Z78" s="847" t="s">
        <v>2217</v>
      </c>
      <c r="AA78" s="850"/>
      <c r="AB78" s="847"/>
      <c r="AC78" s="847"/>
      <c r="AD78" s="847"/>
    </row>
    <row customHeight="1" ht="36">
      <c r="A79" s="846"/>
      <c r="B79" s="900">
        <v>62</v>
      </c>
      <c r="C79" s="844" t="s">
        <v>2194</v>
      </c>
      <c r="D79" s="968"/>
      <c r="E79" s="844"/>
      <c r="F79" s="844"/>
      <c r="G79" s="844"/>
      <c r="H79" s="892"/>
      <c r="I79" s="1006" t="str">
        <f>INDEX(TEMPLATE_NUMBER_POINT_FHD,B79,MATCH(TEMPLATE_SPHERE,TEMPLATE_SPHERE_LIST_FOR_NOTE,0))</f>
        <v>8</v>
      </c>
      <c r="J79" s="100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5" t="str">
        <f>IF(I79=0,"",I79)</f>
        <v>8</v>
      </c>
      <c r="M79" s="845" t="str">
        <f>IF(J79=0,"",J79)</f>
        <v>Тепловая нагрузка по договорам, заключенным в рамках осуществления регулируемых видов деятельности</v>
      </c>
      <c r="N79" s="84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8" t="s">
        <v>126</v>
      </c>
      <c r="P79" s="958"/>
      <c r="Q79" s="958"/>
      <c r="R79" s="958"/>
      <c r="S79" s="958"/>
      <c r="T79" s="844" t="s">
        <v>2218</v>
      </c>
      <c r="U79" s="844"/>
      <c r="V79" s="844"/>
      <c r="W79" s="844"/>
      <c r="X79" s="844"/>
      <c r="Y79" s="1001"/>
      <c r="Z79" s="847" t="s">
        <v>2219</v>
      </c>
      <c r="AA79" s="850"/>
      <c r="AB79" s="847"/>
      <c r="AC79" s="847"/>
      <c r="AD79" s="847"/>
    </row>
    <row customHeight="1" ht="45">
      <c r="A80" s="846"/>
      <c r="B80" s="900">
        <v>63</v>
      </c>
      <c r="C80" s="844" t="s">
        <v>2196</v>
      </c>
      <c r="D80" s="968"/>
      <c r="E80" s="844"/>
      <c r="F80" s="844"/>
      <c r="G80" s="844"/>
      <c r="H80" s="892"/>
      <c r="I80" s="1006" t="str">
        <f>INDEX(TEMPLATE_NUMBER_POINT_FHD,B80,MATCH(TEMPLATE_SPHERE,TEMPLATE_SPHERE_LIST_FOR_NOTE,0))</f>
        <v>9</v>
      </c>
      <c r="J80" s="100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5" t="str">
        <f>IF(I80=0,"",I80)</f>
        <v>9</v>
      </c>
      <c r="M80" s="845" t="str">
        <f>IF(J80=0,"",J80)</f>
        <v>Объем вырабатываемой регулируемой организацией тепловой энергии в рамках осуществления регулируемых видов деятельности</v>
      </c>
      <c r="N80" s="84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8" t="s">
        <v>162</v>
      </c>
      <c r="P80" s="958"/>
      <c r="Q80" s="958"/>
      <c r="R80" s="958"/>
      <c r="S80" s="958"/>
      <c r="T80" s="844" t="s">
        <v>2220</v>
      </c>
      <c r="U80" s="844"/>
      <c r="V80" s="844"/>
      <c r="W80" s="844"/>
      <c r="X80" s="844"/>
      <c r="Y80" s="1001"/>
      <c r="Z80" s="847" t="s">
        <v>2221</v>
      </c>
      <c r="AA80" s="850"/>
      <c r="AB80" s="847"/>
      <c r="AC80" s="847"/>
      <c r="AD80" s="847"/>
    </row>
    <row customHeight="1" ht="36">
      <c r="A81" s="846"/>
      <c r="B81" s="900">
        <v>64</v>
      </c>
      <c r="C81" s="844" t="s">
        <v>2198</v>
      </c>
      <c r="D81" s="968"/>
      <c r="E81" s="844"/>
      <c r="F81" s="844"/>
      <c r="G81" s="844"/>
      <c r="H81" s="892"/>
      <c r="I81" s="1006" t="str">
        <f>INDEX(TEMPLATE_NUMBER_POINT_FHD,B81,MATCH(TEMPLATE_SPHERE,TEMPLATE_SPHERE_LIST_FOR_NOTE,0))</f>
        <v>9.1</v>
      </c>
      <c r="J81" s="100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6" t="str">
        <f>INDEX(TEMPLATE_NOTE_POINT_FHD,B81,MATCH(TEMPLATE_SPHERE,TEMPLATE_SPHERE_LIST_FOR_NOTE,0))</f>
        <v>Информация указывается только едиными теплоснабжающими организациями.</v>
      </c>
      <c r="L81" s="845" t="str">
        <f>IF(I81=0,"",I81)</f>
        <v>9.1</v>
      </c>
      <c r="M81" s="845" t="str">
        <f>IF(J81=0,"",J81)</f>
        <v>Объем приобретаемой регулируемой организацией тепловой энергии в рамках осуществления регулируемых видов деятельности</v>
      </c>
      <c r="N81" s="845" t="str">
        <f>IF(K81=0,"",K81)</f>
        <v>Информация указывается только едиными теплоснабжающими организациями.</v>
      </c>
      <c r="O81" s="958" t="s">
        <v>2104</v>
      </c>
      <c r="P81" s="958"/>
      <c r="Q81" s="958"/>
      <c r="R81" s="958"/>
      <c r="S81" s="958"/>
      <c r="T81" s="844" t="s">
        <v>2222</v>
      </c>
      <c r="U81" s="844"/>
      <c r="V81" s="844"/>
      <c r="W81" s="844"/>
      <c r="X81" s="844"/>
      <c r="Y81" s="1001"/>
      <c r="Z81" s="847" t="s">
        <v>2223</v>
      </c>
      <c r="AA81" s="850"/>
      <c r="AB81" s="847"/>
      <c r="AC81" s="847"/>
      <c r="AD81" s="847"/>
    </row>
    <row customHeight="1" ht="90">
      <c r="A82" s="846"/>
      <c r="B82" s="900">
        <v>65</v>
      </c>
      <c r="C82" s="844" t="s">
        <v>2207</v>
      </c>
      <c r="D82" s="968"/>
      <c r="E82" s="844"/>
      <c r="F82" s="844"/>
      <c r="G82" s="844"/>
      <c r="H82" s="892"/>
      <c r="I82" s="1006" t="str">
        <f>INDEX(TEMPLATE_NUMBER_POINT_FHD,B82,MATCH(TEMPLATE_SPHERE,TEMPLATE_SPHERE_LIST_FOR_NOTE,0))</f>
        <v>10</v>
      </c>
      <c r="J82" s="100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5" t="str">
        <f>IF(I82=0,"",I82)</f>
        <v>10</v>
      </c>
      <c r="M82" s="84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8" t="s">
        <v>163</v>
      </c>
      <c r="P82" s="958"/>
      <c r="Q82" s="958"/>
      <c r="R82" s="958"/>
      <c r="S82" s="958"/>
      <c r="T82" s="844" t="s">
        <v>2224</v>
      </c>
      <c r="U82" s="844"/>
      <c r="V82" s="844"/>
      <c r="W82" s="844"/>
      <c r="X82" s="844"/>
      <c r="Y82" s="1001"/>
      <c r="Z82" s="847" t="s">
        <v>2225</v>
      </c>
      <c r="AA82" s="850"/>
      <c r="AB82" s="847"/>
      <c r="AC82" s="847"/>
      <c r="AD82" s="847"/>
    </row>
    <row customHeight="1" ht="9">
      <c r="A83" s="846"/>
      <c r="B83" s="900">
        <v>66</v>
      </c>
      <c r="C83" s="844"/>
      <c r="D83" s="968"/>
      <c r="E83" s="844"/>
      <c r="F83" s="844"/>
      <c r="G83" s="844"/>
      <c r="H83" s="892"/>
      <c r="I83" s="1006" t="str">
        <f>INDEX(TEMPLATE_NUMBER_POINT_FHD,B83,MATCH(TEMPLATE_SPHERE,TEMPLATE_SPHERE_LIST_FOR_NOTE,0))</f>
        <v>10.1</v>
      </c>
      <c r="J83" s="1006" t="str">
        <f>INDEX(TEMPLATE_DATA_POINT_FHD,B83,MATCH(TEMPLATE_SPHERE,TEMPLATE_SPHERE_LIST_FOR_NOTE,0))</f>
        <v>По приборам учёта </v>
      </c>
      <c r="K83" s="1006">
        <f>INDEX(TEMPLATE_NOTE_POINT_FHD,B83,MATCH(TEMPLATE_SPHERE,TEMPLATE_SPHERE_LIST_FOR_NOTE,0))</f>
        <v>0</v>
      </c>
      <c r="L83" s="845" t="str">
        <f>IF(I83=0,"",I83)</f>
        <v>10.1</v>
      </c>
      <c r="M83" s="845" t="str">
        <f>IF(J83=0,"",J83)</f>
        <v>По приборам учёта </v>
      </c>
      <c r="N83" s="845" t="str">
        <f>IF(K83=0,"",K83)</f>
        <v/>
      </c>
      <c r="O83" s="958" t="s">
        <v>2113</v>
      </c>
      <c r="P83" s="958"/>
      <c r="Q83" s="958"/>
      <c r="R83" s="958"/>
      <c r="S83" s="958"/>
      <c r="T83" s="844" t="s">
        <v>2226</v>
      </c>
      <c r="U83" s="844"/>
      <c r="V83" s="844"/>
      <c r="W83" s="844"/>
      <c r="X83" s="844"/>
      <c r="Y83" s="1001"/>
      <c r="Z83" s="847"/>
      <c r="AA83" s="850"/>
      <c r="AB83" s="847"/>
      <c r="AC83" s="847"/>
      <c r="AD83" s="847"/>
    </row>
    <row customHeight="1" ht="54">
      <c r="A84" s="846"/>
      <c r="B84" s="900">
        <v>67</v>
      </c>
      <c r="C84" s="844"/>
      <c r="D84" s="968"/>
      <c r="E84" s="844"/>
      <c r="F84" s="844"/>
      <c r="G84" s="844"/>
      <c r="H84" s="892"/>
      <c r="I84" s="1006" t="str">
        <f>INDEX(TEMPLATE_NUMBER_POINT_FHD,B84,MATCH(TEMPLATE_SPHERE,TEMPLATE_SPHERE_LIST_FOR_NOTE,0))</f>
        <v>10.1.1</v>
      </c>
      <c r="J84" s="100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6">
        <f>INDEX(TEMPLATE_NOTE_POINT_FHD,B84,MATCH(TEMPLATE_SPHERE,TEMPLATE_SPHERE_LIST_FOR_NOTE,0))</f>
        <v>0</v>
      </c>
      <c r="L84" s="845" t="str">
        <f>IF(I84=0,"",I84)</f>
        <v>10.1.1</v>
      </c>
      <c r="M84" s="84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5" t="str">
        <f>IF(K84=0,"",K84)</f>
        <v/>
      </c>
      <c r="O84" s="958" t="s">
        <v>2227</v>
      </c>
      <c r="P84" s="958"/>
      <c r="Q84" s="958"/>
      <c r="R84" s="958"/>
      <c r="S84" s="958"/>
      <c r="T84" s="844" t="s">
        <v>2228</v>
      </c>
      <c r="U84" s="844"/>
      <c r="V84" s="844"/>
      <c r="W84" s="844"/>
      <c r="X84" s="844"/>
      <c r="Y84" s="1001"/>
      <c r="Z84" s="847"/>
      <c r="AA84" s="850"/>
      <c r="AB84" s="847"/>
      <c r="AC84" s="847"/>
      <c r="AD84" s="847"/>
    </row>
    <row customHeight="1" ht="9">
      <c r="A85" s="846"/>
      <c r="B85" s="900">
        <v>68</v>
      </c>
      <c r="C85" s="844"/>
      <c r="D85" s="968"/>
      <c r="E85" s="844"/>
      <c r="F85" s="844"/>
      <c r="G85" s="844"/>
      <c r="H85" s="892"/>
      <c r="I85" s="1006" t="str">
        <f>INDEX(TEMPLATE_NUMBER_POINT_FHD,B85,MATCH(TEMPLATE_SPHERE,TEMPLATE_SPHERE_LIST_FOR_NOTE,0))</f>
        <v>10.2</v>
      </c>
      <c r="J85" s="1006" t="str">
        <f>INDEX(TEMPLATE_DATA_POINT_FHD,B85,MATCH(TEMPLATE_SPHERE,TEMPLATE_SPHERE_LIST_FOR_NOTE,0))</f>
        <v>Расчётным путём</v>
      </c>
      <c r="K85" s="1006">
        <f>INDEX(TEMPLATE_NOTE_POINT_FHD,B85,MATCH(TEMPLATE_SPHERE,TEMPLATE_SPHERE_LIST_FOR_NOTE,0))</f>
        <v>0</v>
      </c>
      <c r="L85" s="845" t="str">
        <f>IF(I85=0,"",I85)</f>
        <v>10.2</v>
      </c>
      <c r="M85" s="845" t="str">
        <f>IF(J85=0,"",J85)</f>
        <v>Расчётным путём</v>
      </c>
      <c r="N85" s="845" t="str">
        <f>IF(K85=0,"",K85)</f>
        <v/>
      </c>
      <c r="O85" s="958" t="s">
        <v>2117</v>
      </c>
      <c r="P85" s="958"/>
      <c r="Q85" s="958"/>
      <c r="R85" s="958"/>
      <c r="S85" s="958"/>
      <c r="T85" s="844" t="s">
        <v>2229</v>
      </c>
      <c r="U85" s="844"/>
      <c r="V85" s="844"/>
      <c r="W85" s="844"/>
      <c r="X85" s="844"/>
      <c r="Y85" s="1001"/>
      <c r="Z85" s="847"/>
      <c r="AA85" s="850"/>
      <c r="AB85" s="847"/>
      <c r="AC85" s="847"/>
      <c r="AD85" s="847"/>
    </row>
    <row customHeight="1" ht="27">
      <c r="A86" s="846"/>
      <c r="B86" s="900">
        <v>69</v>
      </c>
      <c r="C86" s="844"/>
      <c r="D86" s="968"/>
      <c r="E86" s="844"/>
      <c r="F86" s="844"/>
      <c r="G86" s="844"/>
      <c r="H86" s="892"/>
      <c r="I86" s="1006" t="str">
        <f>INDEX(TEMPLATE_NUMBER_POINT_FHD,B86,MATCH(TEMPLATE_SPHERE,TEMPLATE_SPHERE_LIST_FOR_NOTE,0))</f>
        <v>10.3</v>
      </c>
      <c r="J86" s="1006" t="str">
        <f>INDEX(TEMPLATE_DATA_POINT_FHD,B86,MATCH(TEMPLATE_SPHERE,TEMPLATE_SPHERE_LIST_FOR_NOTE,0))</f>
        <v>По нормативам потребления коммунальных услуг и нормативам потребления коммунальных ресурсов</v>
      </c>
      <c r="K86" s="1006">
        <f>INDEX(TEMPLATE_NOTE_POINT_FHD,B86,MATCH(TEMPLATE_SPHERE,TEMPLATE_SPHERE_LIST_FOR_NOTE,0))</f>
        <v>0</v>
      </c>
      <c r="L86" s="845" t="str">
        <f>IF(I86=0,"",I86)</f>
        <v>10.3</v>
      </c>
      <c r="M86" s="845" t="str">
        <f>IF(J86=0,"",J86)</f>
        <v>По нормативам потребления коммунальных услуг и нормативам потребления коммунальных ресурсов</v>
      </c>
      <c r="N86" s="845" t="str">
        <f>IF(K86=0,"",K86)</f>
        <v/>
      </c>
      <c r="O86" s="958" t="s">
        <v>2230</v>
      </c>
      <c r="P86" s="958"/>
      <c r="Q86" s="958"/>
      <c r="R86" s="958"/>
      <c r="S86" s="958"/>
      <c r="T86" s="844" t="s">
        <v>2231</v>
      </c>
      <c r="U86" s="844"/>
      <c r="V86" s="844"/>
      <c r="W86" s="844"/>
      <c r="X86" s="844"/>
      <c r="Y86" s="1001"/>
      <c r="Z86" s="847"/>
      <c r="AA86" s="850"/>
      <c r="AB86" s="847"/>
      <c r="AC86" s="847"/>
      <c r="AD86" s="847"/>
    </row>
    <row customHeight="1" ht="36">
      <c r="A87" s="846"/>
      <c r="B87" s="900">
        <v>70</v>
      </c>
      <c r="C87" s="844" t="s">
        <v>2232</v>
      </c>
      <c r="D87" s="968"/>
      <c r="E87" s="844"/>
      <c r="F87" s="844"/>
      <c r="G87" s="844"/>
      <c r="H87" s="892"/>
      <c r="I87" s="1006" t="str">
        <f>INDEX(TEMPLATE_NUMBER_POINT_FHD,B87,MATCH(TEMPLATE_SPHERE,TEMPLATE_SPHERE_LIST_FOR_NOTE,0))</f>
        <v>11</v>
      </c>
      <c r="J87" s="100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6">
        <f>INDEX(TEMPLATE_NOTE_POINT_FHD,B87,MATCH(TEMPLATE_SPHERE,TEMPLATE_SPHERE_LIST_FOR_NOTE,0))</f>
        <v>0</v>
      </c>
      <c r="L87" s="845" t="str">
        <f>IF(I87=0,"",I87)</f>
        <v>11</v>
      </c>
      <c r="M87" s="845"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5" t="str">
        <f>IF(K87=0,"",K87)</f>
        <v/>
      </c>
      <c r="O87" s="958" t="s">
        <v>164</v>
      </c>
      <c r="P87" s="958"/>
      <c r="Q87" s="958"/>
      <c r="R87" s="958"/>
      <c r="S87" s="958"/>
      <c r="T87" s="844" t="s">
        <v>2233</v>
      </c>
      <c r="U87" s="844"/>
      <c r="V87" s="844"/>
      <c r="W87" s="844"/>
      <c r="X87" s="844"/>
      <c r="Y87" s="1001"/>
      <c r="Z87" s="847"/>
      <c r="AA87" s="850"/>
      <c r="AB87" s="847"/>
      <c r="AC87" s="847"/>
      <c r="AD87" s="847"/>
    </row>
    <row customHeight="1" ht="18">
      <c r="A88" s="846"/>
      <c r="B88" s="900">
        <v>71</v>
      </c>
      <c r="C88" s="844" t="s">
        <v>2234</v>
      </c>
      <c r="D88" s="968"/>
      <c r="E88" s="844"/>
      <c r="F88" s="844"/>
      <c r="G88" s="844"/>
      <c r="H88" s="892"/>
      <c r="I88" s="1006" t="str">
        <f>INDEX(TEMPLATE_NUMBER_POINT_FHD,B88,MATCH(TEMPLATE_SPHERE,TEMPLATE_SPHERE_LIST_FOR_NOTE,0))</f>
        <v>12</v>
      </c>
      <c r="J88" s="1006" t="str">
        <f>INDEX(TEMPLATE_DATA_POINT_FHD,B88,MATCH(TEMPLATE_SPHERE,TEMPLATE_SPHERE_LIST_FOR_NOTE,0))</f>
        <v>Фактический объем потерь при передаче тепловой энергии</v>
      </c>
      <c r="K88" s="1006">
        <f>INDEX(TEMPLATE_NOTE_POINT_FHD,B88,MATCH(TEMPLATE_SPHERE,TEMPLATE_SPHERE_LIST_FOR_NOTE,0))</f>
        <v>0</v>
      </c>
      <c r="L88" s="845" t="str">
        <f>IF(I88=0,"",I88)</f>
        <v>12</v>
      </c>
      <c r="M88" s="845" t="str">
        <f>IF(J88=0,"",J88)</f>
        <v>Фактический объем потерь при передаче тепловой энергии</v>
      </c>
      <c r="N88" s="845" t="str">
        <f>IF(K88=0,"",K88)</f>
        <v/>
      </c>
      <c r="O88" s="958" t="s">
        <v>165</v>
      </c>
      <c r="P88" s="958"/>
      <c r="Q88" s="958"/>
      <c r="R88" s="958"/>
      <c r="S88" s="958"/>
      <c r="T88" s="844" t="s">
        <v>699</v>
      </c>
      <c r="U88" s="844"/>
      <c r="V88" s="844"/>
      <c r="W88" s="844"/>
      <c r="X88" s="844"/>
      <c r="Y88" s="1001"/>
      <c r="Z88" s="847"/>
      <c r="AA88" s="850"/>
      <c r="AB88" s="847"/>
      <c r="AC88" s="847"/>
      <c r="AD88" s="847"/>
    </row>
    <row customHeight="1" ht="18">
      <c r="A89" s="846"/>
      <c r="B89" s="900">
        <v>72</v>
      </c>
      <c r="C89" s="844" t="s">
        <v>2235</v>
      </c>
      <c r="D89" s="968" t="s">
        <v>2232</v>
      </c>
      <c r="E89" s="844" t="s">
        <v>2232</v>
      </c>
      <c r="F89" s="844" t="s">
        <v>2198</v>
      </c>
      <c r="G89" s="844"/>
      <c r="H89" s="892"/>
      <c r="I89" s="1006" t="str">
        <f>INDEX(TEMPLATE_NUMBER_POINT_FHD,B89,MATCH(TEMPLATE_SPHERE,TEMPLATE_SPHERE_LIST_FOR_NOTE,0))</f>
        <v>13</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13</v>
      </c>
      <c r="M89" s="845" t="str">
        <f>IF(J89=0,"",J89)</f>
        <v>Среднесписочная численность основного производственного персонала</v>
      </c>
      <c r="N89" s="845" t="str">
        <f>IF(K89=0,"",K89)</f>
        <v/>
      </c>
      <c r="O89" s="958" t="s">
        <v>166</v>
      </c>
      <c r="P89" s="958" t="s">
        <v>165</v>
      </c>
      <c r="Q89" s="958" t="s">
        <v>165</v>
      </c>
      <c r="R89" s="958" t="s">
        <v>163</v>
      </c>
      <c r="S89" s="958"/>
      <c r="T89" s="844" t="s">
        <v>707</v>
      </c>
      <c r="U89" s="844" t="s">
        <v>707</v>
      </c>
      <c r="V89" s="844" t="s">
        <v>707</v>
      </c>
      <c r="W89" s="844" t="s">
        <v>707</v>
      </c>
      <c r="X89" s="844"/>
      <c r="Y89" s="1001"/>
      <c r="Z89" s="847"/>
      <c r="AA89" s="850"/>
      <c r="AB89" s="847"/>
      <c r="AC89" s="847"/>
      <c r="AD89" s="847"/>
    </row>
    <row customHeight="1" ht="27">
      <c r="A90" s="846"/>
      <c r="B90" s="900">
        <v>73</v>
      </c>
      <c r="C90" s="844" t="s">
        <v>2236</v>
      </c>
      <c r="D90" s="968"/>
      <c r="E90" s="844"/>
      <c r="F90" s="844"/>
      <c r="G90" s="844"/>
      <c r="H90" s="892"/>
      <c r="I90" s="1006" t="str">
        <f>INDEX(TEMPLATE_NUMBER_POINT_FHD,B90,MATCH(TEMPLATE_SPHERE,TEMPLATE_SPHERE_LIST_FOR_NOTE,0))</f>
        <v>14</v>
      </c>
      <c r="J90" s="1006" t="str">
        <f>INDEX(TEMPLATE_DATA_POINT_FHD,B90,MATCH(TEMPLATE_SPHERE,TEMPLATE_SPHERE_LIST_FOR_NOTE,0))</f>
        <v>Среднесписочная численность административно-управленческого персонала</v>
      </c>
      <c r="K90" s="1006">
        <f>INDEX(TEMPLATE_NOTE_POINT_FHD,B90,MATCH(TEMPLATE_SPHERE,TEMPLATE_SPHERE_LIST_FOR_NOTE,0))</f>
        <v>0</v>
      </c>
      <c r="L90" s="845" t="str">
        <f>IF(I90=0,"",I90)</f>
        <v>14</v>
      </c>
      <c r="M90" s="845" t="str">
        <f>IF(J90=0,"",J90)</f>
        <v>Среднесписочная численность административно-управленческого персонала</v>
      </c>
      <c r="N90" s="845" t="str">
        <f>IF(K90=0,"",K90)</f>
        <v/>
      </c>
      <c r="O90" s="958" t="s">
        <v>167</v>
      </c>
      <c r="P90" s="958"/>
      <c r="Q90" s="958"/>
      <c r="R90" s="958"/>
      <c r="S90" s="958"/>
      <c r="T90" s="844" t="s">
        <v>709</v>
      </c>
      <c r="U90" s="844"/>
      <c r="V90" s="844"/>
      <c r="W90" s="844"/>
      <c r="X90" s="844"/>
      <c r="Y90" s="1001"/>
      <c r="Z90" s="847"/>
      <c r="AA90" s="850"/>
      <c r="AB90" s="847"/>
      <c r="AC90" s="847"/>
      <c r="AD90" s="847"/>
    </row>
    <row customHeight="1" ht="18">
      <c r="A91" s="846"/>
      <c r="B91" s="900">
        <v>74</v>
      </c>
      <c r="C91" s="844"/>
      <c r="D91" s="968" t="s">
        <v>2234</v>
      </c>
      <c r="E91" s="844" t="s">
        <v>2234</v>
      </c>
      <c r="F91" s="844"/>
      <c r="G91" s="844"/>
      <c r="H91" s="892"/>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5" t="str">
        <f>IF(I91=0,"",I91)</f>
        <v/>
      </c>
      <c r="M91" s="845" t="str">
        <f>IF(J91=0,"",J91)</f>
        <v/>
      </c>
      <c r="N91" s="845" t="str">
        <f>IF(K91=0,"",K91)</f>
        <v/>
      </c>
      <c r="O91" s="958"/>
      <c r="P91" s="958" t="s">
        <v>166</v>
      </c>
      <c r="Q91" s="958" t="s">
        <v>166</v>
      </c>
      <c r="R91" s="958"/>
      <c r="S91" s="958"/>
      <c r="T91" s="844"/>
      <c r="U91" s="844" t="s">
        <v>2237</v>
      </c>
      <c r="V91" s="844" t="s">
        <v>2237</v>
      </c>
      <c r="W91" s="844"/>
      <c r="X91" s="844"/>
      <c r="Y91" s="1001"/>
      <c r="Z91" s="847"/>
      <c r="AA91" s="850"/>
      <c r="AB91" s="847"/>
      <c r="AC91" s="847"/>
      <c r="AD91" s="847"/>
    </row>
    <row customHeight="1" ht="27">
      <c r="A92" s="846"/>
      <c r="B92" s="900">
        <v>75</v>
      </c>
      <c r="C92" s="844"/>
      <c r="D92" s="968" t="s">
        <v>2235</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167</v>
      </c>
      <c r="Q92" s="958"/>
      <c r="R92" s="958"/>
      <c r="S92" s="958"/>
      <c r="T92" s="844"/>
      <c r="U92" s="844" t="s">
        <v>2238</v>
      </c>
      <c r="V92" s="844"/>
      <c r="W92" s="844"/>
      <c r="X92" s="844"/>
      <c r="Y92" s="1001"/>
      <c r="Z92" s="847"/>
      <c r="AA92" s="850" t="s">
        <v>2239</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2145</v>
      </c>
      <c r="Q93" s="958"/>
      <c r="R93" s="958"/>
      <c r="S93" s="958"/>
      <c r="T93" s="844"/>
      <c r="U93" s="844" t="s">
        <v>2240</v>
      </c>
      <c r="V93" s="844"/>
      <c r="W93" s="844"/>
      <c r="X93" s="844"/>
      <c r="Y93" s="1001"/>
      <c r="Z93" s="847"/>
      <c r="AA93" s="850" t="s">
        <v>2241</v>
      </c>
      <c r="AB93" s="847"/>
      <c r="AC93" s="847"/>
      <c r="AD93" s="847"/>
    </row>
    <row customHeight="1" ht="45">
      <c r="A94" s="846"/>
      <c r="B94" s="900">
        <v>77</v>
      </c>
      <c r="C94" s="844"/>
      <c r="D94" s="968" t="s">
        <v>2236</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1499</v>
      </c>
      <c r="Q94" s="958"/>
      <c r="R94" s="958"/>
      <c r="S94" s="958"/>
      <c r="T94" s="844"/>
      <c r="U94" s="844" t="s">
        <v>2242</v>
      </c>
      <c r="V94" s="844"/>
      <c r="W94" s="844"/>
      <c r="X94" s="844"/>
      <c r="Y94" s="1001"/>
      <c r="Z94" s="847"/>
      <c r="AA94" s="850" t="s">
        <v>2243</v>
      </c>
      <c r="AB94" s="847"/>
      <c r="AC94" s="847"/>
      <c r="AD94" s="847"/>
    </row>
    <row customHeight="1" ht="99">
      <c r="A95" s="846"/>
      <c r="B95" s="900">
        <v>78</v>
      </c>
      <c r="C95" s="844" t="s">
        <v>2244</v>
      </c>
      <c r="D95" s="968"/>
      <c r="E95" s="844"/>
      <c r="F95" s="844"/>
      <c r="G95" s="844"/>
      <c r="H95" s="892"/>
      <c r="I95" s="1006" t="str">
        <f>INDEX(TEMPLATE_NUMBER_POINT_FHD,B95,MATCH(TEMPLATE_SPHERE,TEMPLATE_SPHERE_LIST_FOR_NOTE,0))</f>
        <v>15</v>
      </c>
      <c r="J95" s="100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6">
        <f>INDEX(TEMPLATE_NOTE_POINT_FHD,B95,MATCH(TEMPLATE_SPHERE,TEMPLATE_SPHERE_LIST_FOR_NOTE,0))</f>
        <v>0</v>
      </c>
      <c r="L95" s="845" t="str">
        <f>IF(I95=0,"",I95)</f>
        <v>15</v>
      </c>
      <c r="M95" s="84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5" t="str">
        <f>IF(K95=0,"",K95)</f>
        <v/>
      </c>
      <c r="O95" s="958" t="s">
        <v>1499</v>
      </c>
      <c r="P95" s="958"/>
      <c r="Q95" s="958"/>
      <c r="R95" s="958"/>
      <c r="S95" s="958"/>
      <c r="T95" s="844" t="s">
        <v>2245</v>
      </c>
      <c r="U95" s="844"/>
      <c r="V95" s="844"/>
      <c r="W95" s="844"/>
      <c r="X95" s="844"/>
      <c r="Y95" s="1001"/>
      <c r="Z95" s="847"/>
      <c r="AA95" s="850"/>
      <c r="AB95" s="847"/>
      <c r="AC95" s="847"/>
      <c r="AD95" s="847"/>
    </row>
    <row customHeight="1" ht="99">
      <c r="A96" s="846"/>
      <c r="B96" s="900">
        <v>79</v>
      </c>
      <c r="C96" s="844" t="s">
        <v>1187</v>
      </c>
      <c r="D96" s="968"/>
      <c r="E96" s="844"/>
      <c r="F96" s="844"/>
      <c r="G96" s="844"/>
      <c r="H96" s="892"/>
      <c r="I96" s="1006" t="str">
        <f>INDEX(TEMPLATE_NUMBER_POINT_FHD,B96,MATCH(TEMPLATE_SPHERE,TEMPLATE_SPHERE_LIST_FOR_NOTE,0))</f>
        <v>16</v>
      </c>
      <c r="J96" s="100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5" t="str">
        <f>IF(I96=0,"",I96)</f>
        <v>16</v>
      </c>
      <c r="M96" s="84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8" t="s">
        <v>1505</v>
      </c>
      <c r="P96" s="958"/>
      <c r="Q96" s="958"/>
      <c r="R96" s="958"/>
      <c r="S96" s="958"/>
      <c r="T96" s="844" t="s">
        <v>2246</v>
      </c>
      <c r="U96" s="844"/>
      <c r="V96" s="844"/>
      <c r="W96" s="844"/>
      <c r="X96" s="844"/>
      <c r="Y96" s="1001"/>
      <c r="Z96" s="847" t="s">
        <v>2247</v>
      </c>
      <c r="AA96" s="850"/>
      <c r="AB96" s="847"/>
      <c r="AC96" s="847"/>
      <c r="AD96" s="847"/>
    </row>
    <row customHeight="1" ht="63">
      <c r="A97" s="846"/>
      <c r="B97" s="900">
        <v>80</v>
      </c>
      <c r="C97" s="844" t="s">
        <v>2248</v>
      </c>
      <c r="D97" s="968"/>
      <c r="E97" s="844"/>
      <c r="F97" s="844"/>
      <c r="G97" s="844"/>
      <c r="H97" s="892"/>
      <c r="I97" s="1006" t="str">
        <f>INDEX(TEMPLATE_NUMBER_POINT_FHD,B97,MATCH(TEMPLATE_SPHERE,TEMPLATE_SPHERE_LIST_FOR_NOTE,0))</f>
        <v>17</v>
      </c>
      <c r="J97" s="100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5" t="str">
        <f>IF(I97=0,"",I97)</f>
        <v>17</v>
      </c>
      <c r="M97" s="84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5" t="str">
        <f>IF(K97=0,"",K97)</f>
        <v>Регулируемыми организациями указывается информация с по договорам, заключенным в рамках осуществления регулируемой деятельности.</v>
      </c>
      <c r="O97" s="958" t="s">
        <v>1517</v>
      </c>
      <c r="P97" s="958"/>
      <c r="Q97" s="958"/>
      <c r="R97" s="958"/>
      <c r="S97" s="958"/>
      <c r="T97" s="844" t="s">
        <v>2249</v>
      </c>
      <c r="U97" s="844"/>
      <c r="V97" s="844"/>
      <c r="W97" s="844"/>
      <c r="X97" s="844"/>
      <c r="Y97" s="1001"/>
      <c r="Z97" s="847" t="s">
        <v>2250</v>
      </c>
      <c r="AA97" s="850"/>
      <c r="AB97" s="847"/>
      <c r="AC97" s="847"/>
      <c r="AD97" s="847"/>
    </row>
    <row customHeight="1" ht="63">
      <c r="A98" s="846"/>
      <c r="B98" s="900">
        <v>81</v>
      </c>
      <c r="C98" s="844" t="s">
        <v>2251</v>
      </c>
      <c r="D98" s="968"/>
      <c r="E98" s="844"/>
      <c r="F98" s="844"/>
      <c r="G98" s="844"/>
      <c r="H98" s="892"/>
      <c r="I98" s="1006" t="str">
        <f>INDEX(TEMPLATE_NUMBER_POINT_FHD,B98,MATCH(TEMPLATE_SPHERE,TEMPLATE_SPHERE_LIST_FOR_NOTE,0))</f>
        <v>18</v>
      </c>
      <c r="J98" s="100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5" t="str">
        <f>IF(I98=0,"",I98)</f>
        <v>18</v>
      </c>
      <c r="M98" s="84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5" t="str">
        <f>IF(K98=0,"",K98)</f>
        <v>Регулируемыми организациями указывается информация с по договорам, заключенным в рамках осуществления регулируемой деятельности.</v>
      </c>
      <c r="O98" s="958" t="s">
        <v>102</v>
      </c>
      <c r="P98" s="958"/>
      <c r="Q98" s="958"/>
      <c r="R98" s="958"/>
      <c r="S98" s="958"/>
      <c r="T98" s="844" t="s">
        <v>2252</v>
      </c>
      <c r="U98" s="844"/>
      <c r="V98" s="844"/>
      <c r="W98" s="844"/>
      <c r="X98" s="844"/>
      <c r="Y98" s="1001"/>
      <c r="Z98" s="847" t="s">
        <v>2250</v>
      </c>
      <c r="AA98" s="850"/>
      <c r="AB98" s="847"/>
      <c r="AC98" s="847"/>
      <c r="AD98" s="847"/>
    </row>
    <row customHeight="1" ht="90">
      <c r="A99" s="846"/>
      <c r="B99" s="900">
        <v>82</v>
      </c>
      <c r="C99" s="844" t="s">
        <v>2253</v>
      </c>
      <c r="D99" s="968"/>
      <c r="E99" s="844"/>
      <c r="F99" s="844"/>
      <c r="G99" s="844"/>
      <c r="H99" s="892"/>
      <c r="I99" s="1006" t="str">
        <f>INDEX(TEMPLATE_NUMBER_POINT_FHD,B99,MATCH(TEMPLATE_SPHERE,TEMPLATE_SPHERE_LIST_FOR_NOTE,0))</f>
        <v>19</v>
      </c>
      <c r="J99" s="100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6" t="str">
        <f>INDEX(TEMPLATE_NOTE_POINT_FHD,B99,MATCH(TEMPLATE_SPHERE,TEMPLATE_SPHERE_LIST_FOR_NOTE,0))</f>
        <v>Указывается ссылка на документ, предварительно загруженный в хранилище файлов ФГИС ЕИАС.</v>
      </c>
      <c r="L99" s="845" t="str">
        <f>IF(I99=0,"",I99)</f>
        <v>19</v>
      </c>
      <c r="M99" s="84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5" t="str">
        <f>IF(K99=0,"",K99)</f>
        <v>Указывается ссылка на документ, предварительно загруженный в хранилище файлов ФГИС ЕИАС.</v>
      </c>
      <c r="O99" s="958" t="s">
        <v>1542</v>
      </c>
      <c r="P99" s="958"/>
      <c r="Q99" s="958"/>
      <c r="R99" s="958"/>
      <c r="S99" s="958"/>
      <c r="T99" s="844" t="s">
        <v>2254</v>
      </c>
      <c r="U99" s="844"/>
      <c r="V99" s="844"/>
      <c r="W99" s="844"/>
      <c r="X99" s="844"/>
      <c r="Y99" s="1001"/>
      <c r="Z99" s="847" t="s">
        <v>664</v>
      </c>
      <c r="AA99" s="850"/>
      <c r="AB99" s="847"/>
      <c r="AC99" s="847"/>
      <c r="AD99" s="847"/>
    </row>
    <row customHeight="1" ht="27">
      <c r="A100" s="846"/>
      <c r="B100" s="900">
        <v>83</v>
      </c>
      <c r="C100" s="844"/>
      <c r="D100" s="968"/>
      <c r="E100" s="844"/>
      <c r="F100" s="844"/>
      <c r="G100" s="844"/>
      <c r="H100" s="892"/>
      <c r="I100" s="1006" t="str">
        <f>INDEX(TEMPLATE_NUMBER_POINT_FHD,B100,MATCH(TEMPLATE_SPHERE,TEMPLATE_SPHERE_LIST_FOR_NOTE,0))</f>
        <v>19.1</v>
      </c>
      <c r="J100" s="1006" t="str">
        <f>INDEX(TEMPLATE_DATA_POINT_FHD,B100,MATCH(TEMPLATE_SPHERE,TEMPLATE_SPHERE_LIST_FOR_NOTE,0))</f>
        <v>Информация о показателях физического износа объектов теплоснабжения</v>
      </c>
      <c r="K100" s="1006" t="str">
        <f>INDEX(TEMPLATE_NOTE_POINT_FHD,B100,MATCH(TEMPLATE_SPHERE,TEMPLATE_SPHERE_LIST_FOR_NOTE,0))</f>
        <v>Указывается ссылка на документ, предварительно загруженный в хранилище файлов ФГИС ЕИАС.</v>
      </c>
      <c r="L100" s="845" t="str">
        <f>IF(I100=0,"",I100)</f>
        <v>19.1</v>
      </c>
      <c r="M100" s="845" t="str">
        <f>IF(J100=0,"",J100)</f>
        <v>Информация о показателях физического износа объектов теплоснабжения</v>
      </c>
      <c r="N100" s="845" t="str">
        <f>IF(K100=0,"",K100)</f>
        <v>Указывается ссылка на документ, предварительно загруженный в хранилище файлов ФГИС ЕИАС.</v>
      </c>
      <c r="O100" s="958" t="s">
        <v>2255</v>
      </c>
      <c r="P100" s="958"/>
      <c r="Q100" s="958"/>
      <c r="R100" s="958"/>
      <c r="S100" s="958"/>
      <c r="T100" s="844" t="s">
        <v>2256</v>
      </c>
      <c r="U100" s="844"/>
      <c r="V100" s="844"/>
      <c r="W100" s="844"/>
      <c r="X100" s="844"/>
      <c r="Y100" s="1001"/>
      <c r="Z100" s="847" t="s">
        <v>664</v>
      </c>
      <c r="AA100" s="850"/>
      <c r="AB100" s="847"/>
      <c r="AC100" s="847"/>
      <c r="AD100" s="847"/>
    </row>
    <row customHeight="1" ht="27">
      <c r="A101" s="846"/>
      <c r="B101" s="900">
        <v>84</v>
      </c>
      <c r="C101" s="844"/>
      <c r="D101" s="968"/>
      <c r="E101" s="844"/>
      <c r="F101" s="844"/>
      <c r="G101" s="844"/>
      <c r="H101" s="892"/>
      <c r="I101" s="1006" t="str">
        <f>INDEX(TEMPLATE_NUMBER_POINT_FHD,B101,MATCH(TEMPLATE_SPHERE,TEMPLATE_SPHERE_LIST_FOR_NOTE,0))</f>
        <v>19.2</v>
      </c>
      <c r="J101" s="1006" t="str">
        <f>INDEX(TEMPLATE_DATA_POINT_FHD,B101,MATCH(TEMPLATE_SPHERE,TEMPLATE_SPHERE_LIST_FOR_NOTE,0))</f>
        <v>Информация о показателях энергетической эффективности объектов теплоснабжения</v>
      </c>
      <c r="K101" s="1006" t="str">
        <f>INDEX(TEMPLATE_NOTE_POINT_FHD,B101,MATCH(TEMPLATE_SPHERE,TEMPLATE_SPHERE_LIST_FOR_NOTE,0))</f>
        <v>Указывается ссылка на документ, предварительно загруженный в хранилище файлов ФГИС ЕИАС.</v>
      </c>
      <c r="L101" s="845" t="str">
        <f>IF(I101=0,"",I101)</f>
        <v>19.2</v>
      </c>
      <c r="M101" s="845" t="str">
        <f>IF(J101=0,"",J101)</f>
        <v>Информация о показателях энергетической эффективности объектов теплоснабжения</v>
      </c>
      <c r="N101" s="845" t="str">
        <f>IF(K101=0,"",K101)</f>
        <v>Указывается ссылка на документ, предварительно загруженный в хранилище файлов ФГИС ЕИАС.</v>
      </c>
      <c r="O101" s="958" t="s">
        <v>2257</v>
      </c>
      <c r="P101" s="958"/>
      <c r="Q101" s="958"/>
      <c r="R101" s="958"/>
      <c r="S101" s="958"/>
      <c r="T101" s="844" t="s">
        <v>2258</v>
      </c>
      <c r="U101" s="844"/>
      <c r="V101" s="844"/>
      <c r="W101" s="844"/>
      <c r="X101" s="844"/>
      <c r="Y101" s="1001"/>
      <c r="Z101" s="847" t="s">
        <v>664</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1695</v>
      </c>
      <c r="B148" s="846"/>
      <c r="C148" s="844" t="s">
        <v>2259</v>
      </c>
      <c r="D148" s="844" t="s">
        <v>1598</v>
      </c>
      <c r="E148" s="844" t="s">
        <v>1697</v>
      </c>
      <c r="F148" s="844" t="s">
        <v>2260</v>
      </c>
      <c r="G148" s="844"/>
      <c r="H148" s="844"/>
      <c r="I148" s="964"/>
      <c r="J148" s="964"/>
      <c r="K148" s="964"/>
      <c r="L148" s="964"/>
      <c r="M148" s="89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9"/>
      <c r="O148" s="844"/>
      <c r="P148" s="845"/>
      <c r="Q148" s="845"/>
      <c r="R148" s="845"/>
      <c r="S148" s="844"/>
      <c r="T148" s="844" t="s">
        <v>2261</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5"/>
      <c r="W148" s="845"/>
      <c r="X148" s="844" t="s">
        <v>2262</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1699</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1702</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1707</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55F878-FC98-BECC-F4D8-4DB62F9FE168}"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2263</v>
      </c>
      <c r="M5" s="2604"/>
      <c r="N5" s="2604"/>
      <c r="O5" s="2604"/>
      <c r="P5" s="2604"/>
      <c r="Q5" s="2604"/>
      <c r="R5" s="2604"/>
      <c r="S5" s="2604"/>
      <c r="T5" s="2604"/>
      <c r="U5" s="2604"/>
      <c r="V5" s="1244"/>
      <c r="AD5" s="1156">
        <v>64</v>
      </c>
    </row>
    <row customHeight="1" ht="14.699999999999998">
      <c r="J6" s="377"/>
      <c r="K6" s="377"/>
      <c r="L6" s="2605" t="str">
        <f>IF(org=0,"Не определено",org)</f>
        <v>КГУП "Примтеплоэнерго"</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Агентство по тарифам Приморского края</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453</v>
      </c>
      <c r="N9" s="305"/>
      <c r="O9" s="2252" t="str">
        <f>IF(TITLE_DATE_CHANGE_PERIOD="",IF(TITLE_DATE_PR="","",TITLE_DATE_PR),TITLE_DATE_CHANGE_PERIOD)</f>
        <v>45783.436215277776</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454</v>
      </c>
      <c r="N10" s="305"/>
      <c r="O10" s="2252" t="str">
        <f>IF(TITLE_NUMBER_PR_CHANGE="",IF(TITLE_NUMBER_PR="","",TITLE_NUMBER_PR),TITLE_NUMBER_PR_CHANGE)</f>
        <v>17-1</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44</v>
      </c>
      <c r="N11" s="305"/>
      <c r="O11" s="2252" t="str">
        <f>IF(TITLE_IST_PUB_CHANGE="",IF(TITLE_IST_PUB="","",TITLE_IST_PUB),TITLE_IST_PUB_CHANGE)</f>
        <v>http://pravo.gov.ru</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457</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333</v>
      </c>
      <c r="M14" s="2128"/>
      <c r="N14" s="2128"/>
      <c r="O14" s="2128"/>
      <c r="P14" s="2128"/>
      <c r="Q14" s="2128"/>
      <c r="R14" s="2128"/>
      <c r="S14" s="2128"/>
      <c r="T14" s="2128"/>
      <c r="U14" s="2128"/>
      <c r="V14" s="2128"/>
      <c r="W14" s="2128"/>
      <c r="X14" s="2128" t="s">
        <v>334</v>
      </c>
      <c r="AD14" s="1156">
        <v>14</v>
      </c>
    </row>
    <row customHeight="1" ht="14.699999999999998">
      <c r="J15" s="377"/>
      <c r="K15" s="377"/>
      <c r="L15" s="2274" t="s">
        <v>91</v>
      </c>
      <c r="M15" s="2210" t="s">
        <v>458</v>
      </c>
      <c r="N15" s="302"/>
      <c r="O15" s="2275" t="s">
        <v>2264</v>
      </c>
      <c r="P15" s="2276"/>
      <c r="Q15" s="2276"/>
      <c r="R15" s="2276"/>
      <c r="S15" s="2276"/>
      <c r="T15" s="2276"/>
      <c r="U15" s="2277"/>
      <c r="V15" s="2278" t="s">
        <v>460</v>
      </c>
      <c r="W15" s="2281" t="s">
        <v>1184</v>
      </c>
      <c r="X15" s="2128"/>
      <c r="AD15" s="1156">
        <v>14</v>
      </c>
    </row>
    <row customHeight="1" ht="35.699999999999996">
      <c r="J16" s="377"/>
      <c r="K16" s="377"/>
      <c r="L16" s="2274"/>
      <c r="M16" s="2210"/>
      <c r="N16" s="1032"/>
      <c r="O16" s="2261" t="s">
        <v>463</v>
      </c>
      <c r="P16" s="2261" t="s">
        <v>464</v>
      </c>
      <c r="Q16" s="2263" t="s">
        <v>465</v>
      </c>
      <c r="R16" s="2264"/>
      <c r="S16" s="2263" t="s">
        <v>478</v>
      </c>
      <c r="T16" s="2270"/>
      <c r="U16" s="2264"/>
      <c r="V16" s="2279"/>
      <c r="W16" s="2282"/>
      <c r="X16" s="2128"/>
      <c r="AD16" s="1156">
        <v>34</v>
      </c>
    </row>
    <row customHeight="1" ht="35.699999999999996">
      <c r="A17" s="1371" t="s">
        <v>148</v>
      </c>
      <c r="B17" s="1371" t="s">
        <v>149</v>
      </c>
      <c r="C17" s="1371" t="s">
        <v>150</v>
      </c>
      <c r="D17" s="1371" t="s">
        <v>151</v>
      </c>
      <c r="E17" s="1371"/>
      <c r="J17" s="377"/>
      <c r="K17" s="377"/>
      <c r="L17" s="2274"/>
      <c r="M17" s="2210"/>
      <c r="N17" s="303"/>
      <c r="O17" s="2262"/>
      <c r="P17" s="2262"/>
      <c r="Q17" s="1223" t="s">
        <v>474</v>
      </c>
      <c r="R17" s="1223" t="s">
        <v>475</v>
      </c>
      <c r="S17" s="1293" t="s">
        <v>476</v>
      </c>
      <c r="T17" s="2271" t="s">
        <v>477</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124</v>
      </c>
      <c r="M18" s="1256" t="s">
        <v>107</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182</v>
      </c>
      <c r="B19" s="1364" t="s">
        <v>183</v>
      </c>
      <c r="C19" s="1364" t="s">
        <v>184</v>
      </c>
      <c r="D19" s="1364" t="s">
        <v>185</v>
      </c>
      <c r="E19" s="1364"/>
      <c r="F19" s="1366"/>
      <c r="G19" s="1366"/>
      <c r="H19" s="1366"/>
      <c r="I19" s="362"/>
      <c r="J19" s="361"/>
      <c r="K19" s="356"/>
      <c r="L19" s="1294">
        <f>INDEX(PT_DIFFERENTIATION_NUM_NTAR,MATCH(A19,PT_DIFFERENTIATION_NTAR_ID,0))</f>
        <v>0</v>
      </c>
      <c r="M19" s="299" t="s">
        <v>137</v>
      </c>
      <c r="N19" s="301"/>
      <c r="O19" s="2607" t="str">
        <f>INDEX(PT_DIFFERENTIATION_NTAR,MATCH(A19,PT_DIFFERENTIATION_NTAR_ID,0))</f>
        <v/>
      </c>
      <c r="P19" s="2607"/>
      <c r="Q19" s="2607"/>
      <c r="R19" s="2607"/>
      <c r="S19" s="2607"/>
      <c r="T19" s="2607"/>
      <c r="U19" s="2607"/>
      <c r="V19" s="2607"/>
      <c r="W19" s="2607"/>
      <c r="X19" s="1259" t="s">
        <v>429</v>
      </c>
      <c r="Z19" s="501"/>
      <c r="AA19" s="501" t="str">
        <f>IF(M19="","",M19)</f>
        <v>Наименование тарифа</v>
      </c>
      <c r="AB19" s="501"/>
      <c r="AC19" s="501"/>
      <c r="AD19" s="1156">
        <v>20</v>
      </c>
    </row>
    <row customHeight="1" ht="21">
      <c r="A20" s="1364" t="s">
        <v>182</v>
      </c>
      <c r="B20" s="1364" t="s">
        <v>183</v>
      </c>
      <c r="C20" s="1364" t="s">
        <v>184</v>
      </c>
      <c r="D20" s="1364" t="s">
        <v>185</v>
      </c>
      <c r="E20" s="1364"/>
      <c r="F20" s="1366"/>
      <c r="G20" s="1366"/>
      <c r="H20" s="1366"/>
      <c r="I20" s="1291"/>
      <c r="J20" s="353"/>
      <c r="K20" s="354"/>
      <c r="L20" s="1294" t="str">
        <f>INDEX(PT_DIFFERENTIATION_NUM_TER,MATCH(B19,PT_DIFFERENTIATION_TER_ID,0))</f>
        <v>.</v>
      </c>
      <c r="M20" s="309" t="s">
        <v>430</v>
      </c>
      <c r="N20" s="301"/>
      <c r="O20" s="2607" t="str">
        <f>INDEX(PT_DIFFERENTIATION_TER,MATCH(B19,PT_DIFFERENTIATION_TER_ID,0))</f>
        <v/>
      </c>
      <c r="P20" s="2607"/>
      <c r="Q20" s="2607"/>
      <c r="R20" s="2607"/>
      <c r="S20" s="2607"/>
      <c r="T20" s="2607"/>
      <c r="U20" s="2607"/>
      <c r="V20" s="2607"/>
      <c r="W20" s="2607"/>
      <c r="X20" s="1259" t="s">
        <v>431</v>
      </c>
      <c r="Z20" s="501"/>
      <c r="AA20" s="501" t="str">
        <f>IF(M20="","",M20)</f>
        <v>Территория действия тарифа</v>
      </c>
      <c r="AB20" s="501"/>
      <c r="AC20" s="501"/>
      <c r="AD20" s="1156">
        <v>20</v>
      </c>
    </row>
    <row customHeight="1" ht="24">
      <c r="A21" s="1364" t="s">
        <v>182</v>
      </c>
      <c r="B21" s="1364" t="s">
        <v>183</v>
      </c>
      <c r="C21" s="1364" t="s">
        <v>184</v>
      </c>
      <c r="D21" s="1364" t="s">
        <v>185</v>
      </c>
      <c r="E21" s="1364"/>
      <c r="F21" s="1366"/>
      <c r="G21" s="1366"/>
      <c r="H21" s="1366"/>
      <c r="I21" s="355"/>
      <c r="J21" s="353"/>
      <c r="K21" s="354"/>
      <c r="L21" s="1294" t="str">
        <f>INDEX(PT_DIFFERENTIATION_NUM_CS,MATCH(C19,PT_DIFFERENTIATION_CS_ID,0))</f>
        <v>..</v>
      </c>
      <c r="M21" s="310" t="s">
        <v>432</v>
      </c>
      <c r="N21" s="301"/>
      <c r="O21" s="2607" t="str">
        <f>INDEX(PT_DIFFERENTIATION_CS,MATCH(C19,PT_DIFFERENTIATION_CS_ID,0))</f>
        <v/>
      </c>
      <c r="P21" s="2607"/>
      <c r="Q21" s="2607"/>
      <c r="R21" s="2607"/>
      <c r="S21" s="2607"/>
      <c r="T21" s="2607"/>
      <c r="U21" s="2607"/>
      <c r="V21" s="2607"/>
      <c r="W21" s="2607"/>
      <c r="X21" s="1259" t="s">
        <v>433</v>
      </c>
      <c r="Z21" s="501"/>
      <c r="AA21" s="501" t="str">
        <f>IF(M21="","",M21)</f>
        <v>Наименование системы теплоснабжения </v>
      </c>
      <c r="AB21" s="501"/>
      <c r="AC21" s="501"/>
      <c r="AD21" s="1156">
        <v>23</v>
      </c>
    </row>
    <row customHeight="1" ht="21">
      <c r="A22" s="1364" t="s">
        <v>182</v>
      </c>
      <c r="B22" s="1364" t="s">
        <v>183</v>
      </c>
      <c r="C22" s="1364" t="s">
        <v>184</v>
      </c>
      <c r="D22" s="1364" t="s">
        <v>185</v>
      </c>
      <c r="E22" s="1364"/>
      <c r="F22" s="1366"/>
      <c r="G22" s="1366"/>
      <c r="H22" s="1366"/>
      <c r="I22" s="355"/>
      <c r="J22" s="353"/>
      <c r="K22" s="354"/>
      <c r="L22" s="1294" t="str">
        <f>INDEX(PT_DIFFERENTIATION_NUM_IST_TE,MATCH(D19,PT_DIFFERENTIATION_IST_TE_ID,0))</f>
        <v>...</v>
      </c>
      <c r="M22" s="311" t="s">
        <v>434</v>
      </c>
      <c r="N22" s="301"/>
      <c r="O22" s="2607" t="str">
        <f>INDEX(PT_DIFFERENTIATION_IST_TE,MATCH(D19,PT_DIFFERENTIATION_IST_TE_ID,0))</f>
        <v/>
      </c>
      <c r="P22" s="2607"/>
      <c r="Q22" s="2607"/>
      <c r="R22" s="2607"/>
      <c r="S22" s="2607"/>
      <c r="T22" s="2607"/>
      <c r="U22" s="2607"/>
      <c r="V22" s="2607"/>
      <c r="W22" s="2607"/>
      <c r="X22" s="1259" t="s">
        <v>435</v>
      </c>
      <c r="Z22" s="501"/>
      <c r="AA22" s="501" t="str">
        <f>IF(M22="","",M22)</f>
        <v>Источник тепловой энергии  </v>
      </c>
      <c r="AB22" s="501"/>
      <c r="AC22" s="501"/>
      <c r="AD22" s="1156">
        <v>20</v>
      </c>
    </row>
    <row customHeight="1" ht="96.75">
      <c r="A23" s="1364" t="s">
        <v>182</v>
      </c>
      <c r="B23" s="1364" t="s">
        <v>183</v>
      </c>
      <c r="C23" s="1364" t="s">
        <v>184</v>
      </c>
      <c r="D23" s="1364" t="s">
        <v>185</v>
      </c>
      <c r="E23" s="1364"/>
      <c r="F23" s="2608" t="str">
        <f>L22&amp;".1"</f>
        <v>....1</v>
      </c>
      <c r="I23" s="2258">
        <v>1</v>
      </c>
      <c r="J23" s="1292"/>
      <c r="K23" s="357"/>
      <c r="L23" s="1294" t="str">
        <f>$F$23</f>
        <v>....1</v>
      </c>
      <c r="M23" s="286" t="s">
        <v>437</v>
      </c>
      <c r="N23" s="301"/>
      <c r="O23" s="2306"/>
      <c r="P23" s="2306"/>
      <c r="Q23" s="2306"/>
      <c r="R23" s="2306"/>
      <c r="S23" s="2306"/>
      <c r="T23" s="2306"/>
      <c r="U23" s="2306"/>
      <c r="V23" s="2306"/>
      <c r="W23" s="2306"/>
      <c r="X23" s="1259" t="s">
        <v>438</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182</v>
      </c>
      <c r="B24" s="1364" t="s">
        <v>183</v>
      </c>
      <c r="C24" s="1364" t="s">
        <v>184</v>
      </c>
      <c r="D24" s="1364" t="s">
        <v>185</v>
      </c>
      <c r="E24" s="1364"/>
      <c r="F24" s="2608"/>
      <c r="G24" s="2218" t="str">
        <f>F23&amp;".1"</f>
        <v>....1.1</v>
      </c>
      <c r="I24" s="2258"/>
      <c r="J24" s="2258">
        <v>1</v>
      </c>
      <c r="K24" s="358"/>
      <c r="L24" s="1294" t="str">
        <f>$G$24</f>
        <v>....1.1</v>
      </c>
      <c r="M24" s="287" t="s">
        <v>440</v>
      </c>
      <c r="N24" s="301"/>
      <c r="O24" s="2246"/>
      <c r="P24" s="2247"/>
      <c r="Q24" s="2247"/>
      <c r="R24" s="2247"/>
      <c r="S24" s="2247"/>
      <c r="T24" s="2247"/>
      <c r="U24" s="2247"/>
      <c r="V24" s="2247"/>
      <c r="W24" s="2248"/>
      <c r="X24" s="1259" t="s">
        <v>441</v>
      </c>
      <c r="Z24" s="501"/>
      <c r="AA24" s="501" t="str">
        <f>IF(M24="","",M24)</f>
        <v>Группа потребителей</v>
      </c>
      <c r="AB24" s="501"/>
      <c r="AC24" s="501"/>
      <c r="AD24" s="1156">
        <v>82</v>
      </c>
    </row>
    <row customHeight="1" ht="11.549999999999999">
      <c r="A25" s="1364" t="s">
        <v>182</v>
      </c>
      <c r="B25" s="1364" t="s">
        <v>183</v>
      </c>
      <c r="C25" s="1364" t="s">
        <v>184</v>
      </c>
      <c r="D25" s="1364" t="s">
        <v>185</v>
      </c>
      <c r="E25" s="1364"/>
      <c r="F25" s="2608"/>
      <c r="G25" s="2218"/>
      <c r="H25" s="2218" t="str">
        <f>G24&amp;".1"</f>
        <v>....1.1.1</v>
      </c>
      <c r="I25" s="2258"/>
      <c r="J25" s="2258"/>
      <c r="K25" s="358">
        <v>1</v>
      </c>
      <c r="L25" s="1294" t="str">
        <f>$H$25</f>
        <v>....1.1.1</v>
      </c>
      <c r="M25" s="1348"/>
      <c r="N25" s="301"/>
      <c r="O25" s="752"/>
      <c r="P25" s="326"/>
      <c r="Q25" s="752"/>
      <c r="R25" s="1258"/>
      <c r="S25" s="2603"/>
      <c r="T25" s="2108" t="s">
        <v>64</v>
      </c>
      <c r="U25" s="2603"/>
      <c r="V25" s="2108" t="s">
        <v>19</v>
      </c>
      <c r="W25" s="326"/>
      <c r="X25" s="2254" t="s">
        <v>443</v>
      </c>
      <c r="Y25" s="512">
        <f>STRCHECKDATE(O26:W26)</f>
      </c>
      <c r="Z25" s="501"/>
      <c r="AA25" s="501" t="str">
        <f>IF(M25="","",M25)</f>
        <v/>
      </c>
      <c r="AB25" s="501"/>
      <c r="AC25" s="501"/>
      <c r="AD25" s="1156">
        <v>11</v>
      </c>
    </row>
    <row customHeight="1" ht="11.549999999999999">
      <c r="A26" s="1364" t="s">
        <v>182</v>
      </c>
      <c r="B26" s="1364" t="s">
        <v>183</v>
      </c>
      <c r="C26" s="1364" t="s">
        <v>184</v>
      </c>
      <c r="D26" s="1364" t="s">
        <v>185</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182</v>
      </c>
      <c r="B27" s="1364" t="s">
        <v>183</v>
      </c>
      <c r="C27" s="1364" t="s">
        <v>184</v>
      </c>
      <c r="D27" s="1364" t="s">
        <v>185</v>
      </c>
      <c r="E27" s="1364"/>
      <c r="F27" s="2608"/>
      <c r="G27" s="2218"/>
      <c r="I27" s="2258"/>
      <c r="J27" s="2258"/>
      <c r="K27" s="357"/>
      <c r="L27" s="1279"/>
      <c r="M27" s="289" t="s">
        <v>444</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182</v>
      </c>
      <c r="B28" s="1364" t="s">
        <v>183</v>
      </c>
      <c r="C28" s="1364" t="s">
        <v>184</v>
      </c>
      <c r="D28" s="1364" t="s">
        <v>185</v>
      </c>
      <c r="E28" s="1364"/>
      <c r="F28" s="2608"/>
      <c r="I28" s="2258"/>
      <c r="J28" s="1292"/>
      <c r="K28" s="357"/>
      <c r="L28" s="1279"/>
      <c r="M28" s="288" t="s">
        <v>445</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182</v>
      </c>
      <c r="B29" s="1364" t="s">
        <v>183</v>
      </c>
      <c r="C29" s="1364" t="s">
        <v>184</v>
      </c>
      <c r="D29" s="1364" t="s">
        <v>185</v>
      </c>
      <c r="E29" s="1364"/>
      <c r="F29" s="1366"/>
      <c r="G29" s="1366"/>
      <c r="H29" s="538"/>
      <c r="I29" s="361"/>
      <c r="J29" s="376"/>
      <c r="K29" s="356"/>
      <c r="L29" s="1279"/>
      <c r="M29" s="366" t="s">
        <v>446</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182</v>
      </c>
      <c r="B30" s="1364" t="s">
        <v>183</v>
      </c>
      <c r="C30" s="1364" t="s">
        <v>184</v>
      </c>
      <c r="D30" s="1364"/>
      <c r="E30" s="1364" t="s">
        <v>619</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182</v>
      </c>
      <c r="B31" s="1364" t="s">
        <v>183</v>
      </c>
      <c r="C31" s="1364"/>
      <c r="D31" s="1364"/>
      <c r="E31" s="1364" t="s">
        <v>2265</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2266</v>
      </c>
      <c r="B32" s="1364"/>
      <c r="C32" s="1364"/>
      <c r="D32" s="1364"/>
      <c r="E32" s="1364" t="s">
        <v>119</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236</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836</v>
      </c>
      <c r="M35" s="2286" t="s">
        <v>2267</v>
      </c>
      <c r="N35" s="2286"/>
      <c r="O35" s="2286"/>
      <c r="P35" s="2286"/>
      <c r="Q35" s="2286"/>
      <c r="R35" s="2286"/>
      <c r="S35" s="2286"/>
      <c r="T35" s="2286"/>
      <c r="U35" s="2286"/>
      <c r="V35" s="2286"/>
      <c r="W35" s="2286"/>
      <c r="X35" s="2286"/>
      <c r="AD35" s="1156">
        <v>27</v>
      </c>
    </row>
    <row customHeight="1" ht="109.19999999999999">
      <c r="H36" s="538"/>
      <c r="I36" s="1304"/>
      <c r="M36" s="2286" t="s">
        <v>2268</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85</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E9BB38-CB02-F5B7-357E-0BF7BB0455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4960C8-90B8-F962-0268-A56D5C3622C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7CAD47-8FE8-7113-E6ED-955F78D2D0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57E2E1-B5A8-1DBD-F288-FC37F49313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682462-F371-BF88-83F8-111CEF99E36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73B40F-BAC8-B24E-5222-2E701B842D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14D538-32DF-C9A4-42A5-7B1409494E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647BA8-8C68-1D7B-6E97-1C86ED3FB4C5}"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8819EF-A7C8-4FF5-057A-1876ED002AF7}"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2269</v>
      </c>
      <c r="B1" s="2617" t="s">
        <v>2270</v>
      </c>
      <c r="C1" s="2618" t="s">
        <v>2271</v>
      </c>
      <c r="D1" s="2619"/>
      <c r="E1" s="837" t="s">
        <v>2272</v>
      </c>
    </row>
    <row customHeight="1" ht="11.25">
      <c r="A2" s="2620"/>
      <c r="B2" s="766" t="s">
        <v>26</v>
      </c>
      <c r="C2" s="754"/>
      <c r="D2" s="765"/>
      <c r="E2" s="837"/>
    </row>
    <row customHeight="1" ht="11.25">
      <c r="A3" s="2621"/>
      <c r="B3" s="2622" t="s">
        <v>33</v>
      </c>
      <c r="C3" s="754"/>
      <c r="D3" s="765"/>
      <c r="E3" s="837"/>
    </row>
    <row customHeight="1" ht="11.25">
      <c r="A4" s="2623"/>
      <c r="B4" s="767" t="s">
        <v>1695</v>
      </c>
      <c r="C4" s="754"/>
      <c r="D4" s="765"/>
      <c r="E4" s="837"/>
    </row>
    <row customHeight="1" ht="11.25">
      <c r="A5" s="2624"/>
      <c r="B5" s="767" t="s">
        <v>1690</v>
      </c>
      <c r="C5" s="2625" t="s">
        <v>2036</v>
      </c>
      <c r="D5" s="2626" t="s">
        <v>2273</v>
      </c>
      <c r="E5" s="837"/>
    </row>
    <row s="1851" customFormat="1" customHeight="1" ht="11.25">
      <c r="A6" s="2627"/>
      <c r="B6" s="767" t="s">
        <v>1699</v>
      </c>
      <c r="C6" s="754"/>
      <c r="D6" s="765"/>
      <c r="E6" s="837"/>
    </row>
    <row customHeight="1" ht="11.25">
      <c r="A7" s="2628"/>
      <c r="B7" s="767" t="s">
        <v>1707</v>
      </c>
      <c r="C7" s="754"/>
      <c r="D7" s="765"/>
      <c r="E7" s="837"/>
    </row>
    <row customHeight="1" ht="11.25">
      <c r="A8" s="757"/>
      <c r="B8" s="767" t="s">
        <v>1702</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1022BE-A494-66D1-3768-B841AF5C747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E14528-21D9-3929-D438-2694EAE68D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6DC7B1-EC88-6498-650E-6207D3783B6B}" mc:Ignorable="x14ac xr xr2 xr3">
  <sheetPr>
    <tabColor rgb="FFFFCC99"/>
  </sheetPr>
  <dimension ref="A1:I484"/>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2274</v>
      </c>
      <c r="B1" s="69" t="s">
        <v>2275</v>
      </c>
      <c r="C1" s="69" t="s">
        <v>2276</v>
      </c>
      <c r="D1" s="69" t="s">
        <v>2277</v>
      </c>
      <c r="E1" s="69" t="s">
        <v>2278</v>
      </c>
      <c r="F1" s="69" t="s">
        <v>2279</v>
      </c>
      <c r="G1" s="69" t="s">
        <v>2280</v>
      </c>
      <c r="H1" s="69" t="s">
        <v>2281</v>
      </c>
      <c r="I1" s="69" t="s">
        <v>2282</v>
      </c>
    </row>
    <row customHeight="1" ht="11.25">
      <c r="A2" s="1851" t="s">
        <v>2283</v>
      </c>
      <c r="B2" s="1851" t="s">
        <v>16</v>
      </c>
      <c r="C2" s="1851" t="s">
        <v>28</v>
      </c>
      <c r="D2" s="1851" t="s">
        <v>2284</v>
      </c>
      <c r="E2" s="1851" t="s">
        <v>2285</v>
      </c>
      <c r="F2" s="1851" t="s">
        <v>2286</v>
      </c>
      <c r="G2" s="1851" t="s">
        <v>28</v>
      </c>
      <c r="H2" s="1851" t="s">
        <v>28</v>
      </c>
      <c r="I2" s="1851" t="s">
        <v>840</v>
      </c>
    </row>
    <row customHeight="1" ht="11.25">
      <c r="A3" s="1851" t="s">
        <v>2283</v>
      </c>
      <c r="B3" s="1851" t="s">
        <v>16</v>
      </c>
      <c r="C3" s="1851" t="s">
        <v>2287</v>
      </c>
      <c r="D3" s="1851" t="s">
        <v>2288</v>
      </c>
      <c r="E3" s="1851" t="s">
        <v>2289</v>
      </c>
      <c r="F3" s="1851" t="s">
        <v>2290</v>
      </c>
      <c r="G3" s="1851" t="s">
        <v>28</v>
      </c>
      <c r="H3" s="1851" t="s">
        <v>28</v>
      </c>
      <c r="I3" s="1851" t="s">
        <v>840</v>
      </c>
    </row>
    <row customHeight="1" ht="11.25">
      <c r="A4" s="1851" t="s">
        <v>2283</v>
      </c>
      <c r="B4" s="1851" t="s">
        <v>16</v>
      </c>
      <c r="C4" s="1851" t="s">
        <v>2291</v>
      </c>
      <c r="D4" s="1851" t="s">
        <v>2292</v>
      </c>
      <c r="E4" s="1851" t="s">
        <v>2293</v>
      </c>
      <c r="F4" s="1851" t="s">
        <v>2294</v>
      </c>
      <c r="G4" s="1851" t="s">
        <v>28</v>
      </c>
      <c r="H4" s="1851" t="s">
        <v>28</v>
      </c>
      <c r="I4" s="1851" t="s">
        <v>840</v>
      </c>
    </row>
    <row customHeight="1" ht="11.25">
      <c r="A5" s="1851" t="s">
        <v>2283</v>
      </c>
      <c r="B5" s="1851" t="s">
        <v>16</v>
      </c>
      <c r="C5" s="1851" t="s">
        <v>2295</v>
      </c>
      <c r="D5" s="1851" t="s">
        <v>2296</v>
      </c>
      <c r="E5" s="1851" t="s">
        <v>2297</v>
      </c>
      <c r="F5" s="1851" t="s">
        <v>2298</v>
      </c>
      <c r="G5" s="1851" t="s">
        <v>28</v>
      </c>
      <c r="H5" s="1851" t="s">
        <v>28</v>
      </c>
      <c r="I5" s="1851" t="s">
        <v>840</v>
      </c>
    </row>
    <row customHeight="1" ht="11.25">
      <c r="A6" s="1851" t="s">
        <v>2283</v>
      </c>
      <c r="B6" s="1851" t="s">
        <v>16</v>
      </c>
      <c r="C6" s="1851" t="s">
        <v>2299</v>
      </c>
      <c r="D6" s="1851" t="s">
        <v>2300</v>
      </c>
      <c r="E6" s="1851" t="s">
        <v>2301</v>
      </c>
      <c r="F6" s="1851" t="s">
        <v>2302</v>
      </c>
      <c r="G6" s="1851" t="s">
        <v>28</v>
      </c>
      <c r="H6" s="1851" t="s">
        <v>28</v>
      </c>
      <c r="I6" s="1851" t="s">
        <v>840</v>
      </c>
    </row>
    <row customHeight="1" ht="11.25">
      <c r="A7" s="1851" t="s">
        <v>2283</v>
      </c>
      <c r="B7" s="1851" t="s">
        <v>16</v>
      </c>
      <c r="C7" s="1851" t="s">
        <v>2303</v>
      </c>
      <c r="D7" s="1851" t="s">
        <v>2300</v>
      </c>
      <c r="E7" s="1851" t="s">
        <v>2301</v>
      </c>
      <c r="F7" s="1851" t="s">
        <v>2304</v>
      </c>
      <c r="G7" s="1851" t="s">
        <v>2305</v>
      </c>
      <c r="H7" s="1851" t="s">
        <v>28</v>
      </c>
      <c r="I7" s="1851" t="s">
        <v>840</v>
      </c>
    </row>
    <row customHeight="1" ht="11.25">
      <c r="A8" s="1851" t="s">
        <v>2283</v>
      </c>
      <c r="B8" s="1851" t="s">
        <v>16</v>
      </c>
      <c r="C8" s="1851" t="s">
        <v>2306</v>
      </c>
      <c r="D8" s="1851" t="s">
        <v>2307</v>
      </c>
      <c r="E8" s="1851" t="s">
        <v>2301</v>
      </c>
      <c r="F8" s="1851" t="s">
        <v>2308</v>
      </c>
      <c r="G8" s="1851" t="s">
        <v>28</v>
      </c>
      <c r="H8" s="1851" t="s">
        <v>28</v>
      </c>
      <c r="I8" s="1851" t="s">
        <v>840</v>
      </c>
    </row>
    <row customHeight="1" ht="11.25">
      <c r="A9" s="1851" t="s">
        <v>2283</v>
      </c>
      <c r="B9" s="1851" t="s">
        <v>16</v>
      </c>
      <c r="C9" s="1851" t="s">
        <v>2309</v>
      </c>
      <c r="D9" s="1851" t="s">
        <v>2310</v>
      </c>
      <c r="E9" s="1851" t="s">
        <v>2301</v>
      </c>
      <c r="F9" s="1851" t="s">
        <v>2311</v>
      </c>
      <c r="G9" s="1851" t="s">
        <v>28</v>
      </c>
      <c r="H9" s="1851" t="s">
        <v>28</v>
      </c>
      <c r="I9" s="1851" t="s">
        <v>840</v>
      </c>
    </row>
    <row customHeight="1" ht="11.25">
      <c r="A10" s="1851" t="s">
        <v>2283</v>
      </c>
      <c r="B10" s="1851" t="s">
        <v>16</v>
      </c>
      <c r="C10" s="1851" t="s">
        <v>2312</v>
      </c>
      <c r="D10" s="1851" t="s">
        <v>2313</v>
      </c>
      <c r="E10" s="1851" t="s">
        <v>2314</v>
      </c>
      <c r="F10" s="1851" t="s">
        <v>2315</v>
      </c>
      <c r="G10" s="1851" t="s">
        <v>28</v>
      </c>
      <c r="H10" s="1851" t="s">
        <v>28</v>
      </c>
      <c r="I10" s="1851" t="s">
        <v>840</v>
      </c>
    </row>
    <row customHeight="1" ht="11.25">
      <c r="A11" s="1851" t="s">
        <v>2283</v>
      </c>
      <c r="B11" s="1851" t="s">
        <v>16</v>
      </c>
      <c r="C11" s="1851" t="s">
        <v>2316</v>
      </c>
      <c r="D11" s="1851" t="s">
        <v>2317</v>
      </c>
      <c r="E11" s="1851" t="s">
        <v>2318</v>
      </c>
      <c r="F11" s="1851" t="s">
        <v>2319</v>
      </c>
      <c r="G11" s="1851" t="s">
        <v>28</v>
      </c>
      <c r="H11" s="1851" t="s">
        <v>28</v>
      </c>
      <c r="I11" s="1851" t="s">
        <v>840</v>
      </c>
    </row>
    <row customHeight="1" ht="11.25">
      <c r="A12" s="1851" t="s">
        <v>2283</v>
      </c>
      <c r="B12" s="1851" t="s">
        <v>16</v>
      </c>
      <c r="C12" s="1851" t="s">
        <v>2320</v>
      </c>
      <c r="D12" s="1851" t="s">
        <v>2321</v>
      </c>
      <c r="E12" s="1851" t="s">
        <v>2322</v>
      </c>
      <c r="F12" s="1851" t="s">
        <v>2323</v>
      </c>
      <c r="G12" s="1851" t="s">
        <v>28</v>
      </c>
      <c r="H12" s="1851" t="s">
        <v>28</v>
      </c>
      <c r="I12" s="1851" t="s">
        <v>840</v>
      </c>
    </row>
    <row customHeight="1" ht="11.25">
      <c r="A13" s="1851" t="s">
        <v>2283</v>
      </c>
      <c r="B13" s="1851" t="s">
        <v>16</v>
      </c>
      <c r="C13" s="1851" t="s">
        <v>2324</v>
      </c>
      <c r="D13" s="1851" t="s">
        <v>2325</v>
      </c>
      <c r="E13" s="1851" t="s">
        <v>2326</v>
      </c>
      <c r="F13" s="1851" t="s">
        <v>2327</v>
      </c>
      <c r="G13" s="1851" t="s">
        <v>28</v>
      </c>
      <c r="H13" s="1851" t="s">
        <v>28</v>
      </c>
      <c r="I13" s="1851" t="s">
        <v>840</v>
      </c>
    </row>
    <row customHeight="1" ht="11.25">
      <c r="A14" s="1851" t="s">
        <v>2283</v>
      </c>
      <c r="B14" s="1851" t="s">
        <v>16</v>
      </c>
      <c r="C14" s="1851" t="s">
        <v>2328</v>
      </c>
      <c r="D14" s="1851" t="s">
        <v>2329</v>
      </c>
      <c r="E14" s="1851" t="s">
        <v>2330</v>
      </c>
      <c r="F14" s="1851" t="s">
        <v>2331</v>
      </c>
      <c r="G14" s="1851" t="s">
        <v>2332</v>
      </c>
      <c r="H14" s="1851" t="s">
        <v>28</v>
      </c>
      <c r="I14" s="1851" t="s">
        <v>840</v>
      </c>
    </row>
    <row customHeight="1" ht="11.25">
      <c r="A15" s="1851" t="s">
        <v>2283</v>
      </c>
      <c r="B15" s="1851" t="s">
        <v>16</v>
      </c>
      <c r="C15" s="1851" t="s">
        <v>2333</v>
      </c>
      <c r="D15" s="1851" t="s">
        <v>2334</v>
      </c>
      <c r="E15" s="1851" t="s">
        <v>2335</v>
      </c>
      <c r="F15" s="1851" t="s">
        <v>2294</v>
      </c>
      <c r="G15" s="1851" t="s">
        <v>28</v>
      </c>
      <c r="H15" s="1851" t="s">
        <v>28</v>
      </c>
      <c r="I15" s="1851" t="s">
        <v>840</v>
      </c>
    </row>
    <row customHeight="1" ht="11.25">
      <c r="A16" s="1851" t="s">
        <v>2283</v>
      </c>
      <c r="B16" s="1851" t="s">
        <v>16</v>
      </c>
      <c r="C16" s="1851" t="s">
        <v>2336</v>
      </c>
      <c r="D16" s="1851" t="s">
        <v>2337</v>
      </c>
      <c r="E16" s="1851" t="s">
        <v>2338</v>
      </c>
      <c r="F16" s="1851" t="s">
        <v>2339</v>
      </c>
      <c r="G16" s="1851" t="s">
        <v>28</v>
      </c>
      <c r="H16" s="1851" t="s">
        <v>28</v>
      </c>
      <c r="I16" s="1851" t="s">
        <v>840</v>
      </c>
    </row>
    <row customHeight="1" ht="11.25">
      <c r="A17" s="1851" t="s">
        <v>2283</v>
      </c>
      <c r="B17" s="1851" t="s">
        <v>16</v>
      </c>
      <c r="C17" s="1851" t="s">
        <v>2340</v>
      </c>
      <c r="D17" s="1851" t="s">
        <v>2341</v>
      </c>
      <c r="E17" s="1851" t="s">
        <v>2342</v>
      </c>
      <c r="F17" s="1851" t="s">
        <v>2343</v>
      </c>
      <c r="G17" s="1851" t="s">
        <v>2344</v>
      </c>
      <c r="H17" s="1851" t="s">
        <v>28</v>
      </c>
      <c r="I17" s="1851" t="s">
        <v>840</v>
      </c>
    </row>
    <row customHeight="1" ht="11.25">
      <c r="A18" s="1851" t="s">
        <v>2283</v>
      </c>
      <c r="B18" s="1851" t="s">
        <v>16</v>
      </c>
      <c r="C18" s="1851" t="s">
        <v>2345</v>
      </c>
      <c r="D18" s="1851" t="s">
        <v>2346</v>
      </c>
      <c r="E18" s="1851" t="s">
        <v>2347</v>
      </c>
      <c r="F18" s="1851" t="s">
        <v>2348</v>
      </c>
      <c r="G18" s="1851" t="s">
        <v>2349</v>
      </c>
      <c r="H18" s="1851" t="s">
        <v>28</v>
      </c>
      <c r="I18" s="1851" t="s">
        <v>840</v>
      </c>
    </row>
    <row customHeight="1" ht="11.25">
      <c r="A19" s="1851" t="s">
        <v>2283</v>
      </c>
      <c r="B19" s="1851" t="s">
        <v>16</v>
      </c>
      <c r="C19" s="1851" t="s">
        <v>2350</v>
      </c>
      <c r="D19" s="1851" t="s">
        <v>2351</v>
      </c>
      <c r="E19" s="1851" t="s">
        <v>2352</v>
      </c>
      <c r="F19" s="1851" t="s">
        <v>2315</v>
      </c>
      <c r="G19" s="1851" t="s">
        <v>28</v>
      </c>
      <c r="H19" s="1851" t="s">
        <v>28</v>
      </c>
      <c r="I19" s="1851" t="s">
        <v>840</v>
      </c>
    </row>
    <row customHeight="1" ht="11.25">
      <c r="A20" s="1851" t="s">
        <v>2283</v>
      </c>
      <c r="B20" s="1851" t="s">
        <v>16</v>
      </c>
      <c r="C20" s="1851" t="s">
        <v>2353</v>
      </c>
      <c r="D20" s="1851" t="s">
        <v>2354</v>
      </c>
      <c r="E20" s="1851" t="s">
        <v>2355</v>
      </c>
      <c r="F20" s="1851" t="s">
        <v>2356</v>
      </c>
      <c r="G20" s="1851" t="s">
        <v>28</v>
      </c>
      <c r="H20" s="1851" t="s">
        <v>28</v>
      </c>
      <c r="I20" s="1851" t="s">
        <v>840</v>
      </c>
    </row>
    <row customHeight="1" ht="11.25">
      <c r="A21" s="1851" t="s">
        <v>2283</v>
      </c>
      <c r="B21" s="1851" t="s">
        <v>16</v>
      </c>
      <c r="C21" s="1851" t="s">
        <v>2357</v>
      </c>
      <c r="D21" s="1851" t="s">
        <v>2358</v>
      </c>
      <c r="E21" s="1851" t="s">
        <v>2359</v>
      </c>
      <c r="F21" s="1851" t="s">
        <v>2327</v>
      </c>
      <c r="G21" s="1851" t="s">
        <v>2360</v>
      </c>
      <c r="H21" s="1851" t="s">
        <v>28</v>
      </c>
      <c r="I21" s="1851" t="s">
        <v>840</v>
      </c>
    </row>
    <row customHeight="1" ht="11.25">
      <c r="A22" s="1851" t="s">
        <v>2283</v>
      </c>
      <c r="B22" s="1851" t="s">
        <v>16</v>
      </c>
      <c r="C22" s="1851" t="s">
        <v>2361</v>
      </c>
      <c r="D22" s="1851" t="s">
        <v>2362</v>
      </c>
      <c r="E22" s="1851" t="s">
        <v>2363</v>
      </c>
      <c r="F22" s="1851" t="s">
        <v>2364</v>
      </c>
      <c r="G22" s="1851" t="s">
        <v>28</v>
      </c>
      <c r="H22" s="1851" t="s">
        <v>28</v>
      </c>
      <c r="I22" s="1851" t="s">
        <v>840</v>
      </c>
    </row>
    <row customHeight="1" ht="11.25">
      <c r="A23" s="1851" t="s">
        <v>2283</v>
      </c>
      <c r="B23" s="1851" t="s">
        <v>16</v>
      </c>
      <c r="C23" s="1851" t="s">
        <v>2365</v>
      </c>
      <c r="D23" s="1851" t="s">
        <v>2366</v>
      </c>
      <c r="E23" s="1851" t="s">
        <v>2367</v>
      </c>
      <c r="F23" s="1851" t="s">
        <v>2286</v>
      </c>
      <c r="G23" s="1851" t="s">
        <v>2368</v>
      </c>
      <c r="H23" s="1851" t="s">
        <v>28</v>
      </c>
      <c r="I23" s="1851" t="s">
        <v>840</v>
      </c>
    </row>
    <row customHeight="1" ht="11.25">
      <c r="A24" s="1851" t="s">
        <v>2283</v>
      </c>
      <c r="B24" s="1851" t="s">
        <v>16</v>
      </c>
      <c r="C24" s="1851" t="s">
        <v>2369</v>
      </c>
      <c r="D24" s="1851" t="s">
        <v>2370</v>
      </c>
      <c r="E24" s="1851" t="s">
        <v>2371</v>
      </c>
      <c r="F24" s="1851" t="s">
        <v>2372</v>
      </c>
      <c r="G24" s="1851" t="s">
        <v>28</v>
      </c>
      <c r="H24" s="1851" t="s">
        <v>28</v>
      </c>
      <c r="I24" s="1851" t="s">
        <v>840</v>
      </c>
    </row>
    <row customHeight="1" ht="11.25">
      <c r="A25" s="1851" t="s">
        <v>2283</v>
      </c>
      <c r="B25" s="1851" t="s">
        <v>16</v>
      </c>
      <c r="C25" s="1851" t="s">
        <v>2373</v>
      </c>
      <c r="D25" s="1851" t="s">
        <v>2374</v>
      </c>
      <c r="E25" s="1851" t="s">
        <v>2375</v>
      </c>
      <c r="F25" s="1851" t="s">
        <v>2327</v>
      </c>
      <c r="G25" s="1851" t="s">
        <v>28</v>
      </c>
      <c r="H25" s="1851" t="s">
        <v>28</v>
      </c>
      <c r="I25" s="1851" t="s">
        <v>840</v>
      </c>
    </row>
    <row customHeight="1" ht="11.25">
      <c r="A26" s="1851" t="s">
        <v>2283</v>
      </c>
      <c r="B26" s="1851" t="s">
        <v>16</v>
      </c>
      <c r="C26" s="1851" t="s">
        <v>2376</v>
      </c>
      <c r="D26" s="1851" t="s">
        <v>2377</v>
      </c>
      <c r="E26" s="1851" t="s">
        <v>2378</v>
      </c>
      <c r="F26" s="1851" t="s">
        <v>2286</v>
      </c>
      <c r="G26" s="1851" t="s">
        <v>28</v>
      </c>
      <c r="H26" s="1851" t="s">
        <v>28</v>
      </c>
      <c r="I26" s="1851" t="s">
        <v>840</v>
      </c>
    </row>
    <row customHeight="1" ht="11.25">
      <c r="A27" s="1851" t="s">
        <v>2283</v>
      </c>
      <c r="B27" s="1851" t="s">
        <v>16</v>
      </c>
      <c r="C27" s="1851" t="s">
        <v>2379</v>
      </c>
      <c r="D27" s="1851" t="s">
        <v>2380</v>
      </c>
      <c r="E27" s="1851" t="s">
        <v>2381</v>
      </c>
      <c r="F27" s="1851" t="s">
        <v>2382</v>
      </c>
      <c r="G27" s="1851" t="s">
        <v>28</v>
      </c>
      <c r="H27" s="1851" t="s">
        <v>28</v>
      </c>
      <c r="I27" s="1851" t="s">
        <v>840</v>
      </c>
    </row>
    <row customHeight="1" ht="11.25">
      <c r="A28" s="1851" t="s">
        <v>2283</v>
      </c>
      <c r="B28" s="1851" t="s">
        <v>16</v>
      </c>
      <c r="C28" s="1851" t="s">
        <v>2383</v>
      </c>
      <c r="D28" s="1851" t="s">
        <v>2384</v>
      </c>
      <c r="E28" s="1851" t="s">
        <v>2385</v>
      </c>
      <c r="F28" s="1851" t="s">
        <v>2386</v>
      </c>
      <c r="G28" s="1851" t="s">
        <v>28</v>
      </c>
      <c r="H28" s="1851" t="s">
        <v>28</v>
      </c>
      <c r="I28" s="1851" t="s">
        <v>840</v>
      </c>
    </row>
    <row customHeight="1" ht="11.25">
      <c r="A29" s="1851" t="s">
        <v>2283</v>
      </c>
      <c r="B29" s="1851" t="s">
        <v>16</v>
      </c>
      <c r="C29" s="1851" t="s">
        <v>2387</v>
      </c>
      <c r="D29" s="1851" t="s">
        <v>2388</v>
      </c>
      <c r="E29" s="1851" t="s">
        <v>2385</v>
      </c>
      <c r="F29" s="1851" t="s">
        <v>2389</v>
      </c>
      <c r="G29" s="1851" t="s">
        <v>28</v>
      </c>
      <c r="H29" s="1851" t="s">
        <v>28</v>
      </c>
      <c r="I29" s="1851" t="s">
        <v>840</v>
      </c>
    </row>
    <row customHeight="1" ht="11.25">
      <c r="A30" s="1851" t="s">
        <v>2283</v>
      </c>
      <c r="B30" s="1851" t="s">
        <v>16</v>
      </c>
      <c r="C30" s="1851" t="s">
        <v>2390</v>
      </c>
      <c r="D30" s="1851" t="s">
        <v>2391</v>
      </c>
      <c r="E30" s="1851" t="s">
        <v>2392</v>
      </c>
      <c r="F30" s="1851" t="s">
        <v>2393</v>
      </c>
      <c r="G30" s="1851" t="s">
        <v>28</v>
      </c>
      <c r="H30" s="1851" t="s">
        <v>28</v>
      </c>
      <c r="I30" s="1851" t="s">
        <v>840</v>
      </c>
    </row>
    <row customHeight="1" ht="11.25">
      <c r="A31" s="1851" t="s">
        <v>2283</v>
      </c>
      <c r="B31" s="1851" t="s">
        <v>16</v>
      </c>
      <c r="C31" s="1851" t="s">
        <v>2394</v>
      </c>
      <c r="D31" s="1851" t="s">
        <v>2395</v>
      </c>
      <c r="E31" s="1851" t="s">
        <v>2396</v>
      </c>
      <c r="F31" s="1851" t="s">
        <v>2356</v>
      </c>
      <c r="G31" s="1851" t="s">
        <v>2397</v>
      </c>
      <c r="H31" s="1851" t="s">
        <v>28</v>
      </c>
      <c r="I31" s="1851" t="s">
        <v>840</v>
      </c>
    </row>
    <row customHeight="1" ht="11.25">
      <c r="A32" s="1851" t="s">
        <v>2283</v>
      </c>
      <c r="B32" s="1851" t="s">
        <v>16</v>
      </c>
      <c r="C32" s="1851" t="s">
        <v>2398</v>
      </c>
      <c r="D32" s="1851" t="s">
        <v>2399</v>
      </c>
      <c r="E32" s="1851" t="s">
        <v>2400</v>
      </c>
      <c r="F32" s="1851" t="s">
        <v>2339</v>
      </c>
      <c r="G32" s="1851" t="s">
        <v>28</v>
      </c>
      <c r="H32" s="1851" t="s">
        <v>28</v>
      </c>
      <c r="I32" s="1851" t="s">
        <v>840</v>
      </c>
    </row>
    <row customHeight="1" ht="11.25">
      <c r="A33" s="1851" t="s">
        <v>2283</v>
      </c>
      <c r="B33" s="1851" t="s">
        <v>16</v>
      </c>
      <c r="C33" s="1851" t="s">
        <v>2401</v>
      </c>
      <c r="D33" s="1851" t="s">
        <v>2402</v>
      </c>
      <c r="E33" s="1851" t="s">
        <v>2403</v>
      </c>
      <c r="F33" s="1851" t="s">
        <v>2327</v>
      </c>
      <c r="G33" s="1851" t="s">
        <v>28</v>
      </c>
      <c r="H33" s="1851" t="s">
        <v>28</v>
      </c>
      <c r="I33" s="1851" t="s">
        <v>840</v>
      </c>
    </row>
    <row customHeight="1" ht="11.25">
      <c r="A34" s="1851" t="s">
        <v>2283</v>
      </c>
      <c r="B34" s="1851" t="s">
        <v>16</v>
      </c>
      <c r="C34" s="1851" t="s">
        <v>2404</v>
      </c>
      <c r="D34" s="1851" t="s">
        <v>2405</v>
      </c>
      <c r="E34" s="1851" t="s">
        <v>2406</v>
      </c>
      <c r="F34" s="1851" t="s">
        <v>608</v>
      </c>
      <c r="G34" s="1851" t="s">
        <v>2407</v>
      </c>
      <c r="H34" s="1851" t="s">
        <v>28</v>
      </c>
      <c r="I34" s="1851" t="s">
        <v>840</v>
      </c>
    </row>
    <row customHeight="1" ht="11.25">
      <c r="A35" s="1851" t="s">
        <v>2283</v>
      </c>
      <c r="B35" s="1851" t="s">
        <v>16</v>
      </c>
      <c r="C35" s="1851" t="s">
        <v>2408</v>
      </c>
      <c r="D35" s="1851" t="s">
        <v>2409</v>
      </c>
      <c r="E35" s="1851" t="s">
        <v>2410</v>
      </c>
      <c r="F35" s="1851" t="s">
        <v>2327</v>
      </c>
      <c r="G35" s="1851" t="s">
        <v>28</v>
      </c>
      <c r="H35" s="1851" t="s">
        <v>28</v>
      </c>
      <c r="I35" s="1851" t="s">
        <v>840</v>
      </c>
    </row>
    <row customHeight="1" ht="11.25">
      <c r="A36" s="1851" t="s">
        <v>2283</v>
      </c>
      <c r="B36" s="1851" t="s">
        <v>16</v>
      </c>
      <c r="C36" s="1851" t="s">
        <v>2411</v>
      </c>
      <c r="D36" s="1851" t="s">
        <v>2412</v>
      </c>
      <c r="E36" s="1851" t="s">
        <v>2413</v>
      </c>
      <c r="F36" s="1851" t="s">
        <v>2414</v>
      </c>
      <c r="G36" s="1851" t="s">
        <v>2415</v>
      </c>
      <c r="H36" s="1851" t="s">
        <v>28</v>
      </c>
      <c r="I36" s="1851" t="s">
        <v>840</v>
      </c>
    </row>
    <row customHeight="1" ht="11.25">
      <c r="A37" s="1851" t="s">
        <v>2283</v>
      </c>
      <c r="B37" s="1851" t="s">
        <v>16</v>
      </c>
      <c r="C37" s="1851" t="s">
        <v>2416</v>
      </c>
      <c r="D37" s="1851" t="s">
        <v>2417</v>
      </c>
      <c r="E37" s="1851" t="s">
        <v>2418</v>
      </c>
      <c r="F37" s="1851" t="s">
        <v>2393</v>
      </c>
      <c r="G37" s="1851" t="s">
        <v>28</v>
      </c>
      <c r="H37" s="1851" t="s">
        <v>28</v>
      </c>
      <c r="I37" s="1851" t="s">
        <v>840</v>
      </c>
    </row>
    <row customHeight="1" ht="11.25">
      <c r="A38" s="1851" t="s">
        <v>2283</v>
      </c>
      <c r="B38" s="1851" t="s">
        <v>16</v>
      </c>
      <c r="C38" s="1851" t="s">
        <v>2419</v>
      </c>
      <c r="D38" s="1851" t="s">
        <v>2420</v>
      </c>
      <c r="E38" s="1851" t="s">
        <v>2421</v>
      </c>
      <c r="F38" s="1851" t="s">
        <v>2422</v>
      </c>
      <c r="G38" s="1851" t="s">
        <v>28</v>
      </c>
      <c r="H38" s="1851" t="s">
        <v>28</v>
      </c>
      <c r="I38" s="1851" t="s">
        <v>840</v>
      </c>
    </row>
    <row customHeight="1" ht="11.25">
      <c r="A39" s="1851" t="s">
        <v>2283</v>
      </c>
      <c r="B39" s="1851" t="s">
        <v>16</v>
      </c>
      <c r="C39" s="1851" t="s">
        <v>2423</v>
      </c>
      <c r="D39" s="1851" t="s">
        <v>2424</v>
      </c>
      <c r="E39" s="1851" t="s">
        <v>2425</v>
      </c>
      <c r="F39" s="1851" t="s">
        <v>2393</v>
      </c>
      <c r="G39" s="1851" t="s">
        <v>28</v>
      </c>
      <c r="H39" s="1851" t="s">
        <v>28</v>
      </c>
      <c r="I39" s="1851" t="s">
        <v>840</v>
      </c>
    </row>
    <row customHeight="1" ht="11.25">
      <c r="A40" s="1851" t="s">
        <v>2283</v>
      </c>
      <c r="B40" s="1851" t="s">
        <v>16</v>
      </c>
      <c r="C40" s="1851" t="s">
        <v>2426</v>
      </c>
      <c r="D40" s="1851" t="s">
        <v>2427</v>
      </c>
      <c r="E40" s="1851" t="s">
        <v>2428</v>
      </c>
      <c r="F40" s="1851" t="s">
        <v>2327</v>
      </c>
      <c r="G40" s="1851" t="s">
        <v>28</v>
      </c>
      <c r="H40" s="1851" t="s">
        <v>28</v>
      </c>
      <c r="I40" s="1851" t="s">
        <v>840</v>
      </c>
    </row>
    <row customHeight="1" ht="11.25">
      <c r="A41" s="1851" t="s">
        <v>2283</v>
      </c>
      <c r="B41" s="1851" t="s">
        <v>16</v>
      </c>
      <c r="C41" s="1851" t="s">
        <v>2429</v>
      </c>
      <c r="D41" s="1851" t="s">
        <v>2430</v>
      </c>
      <c r="E41" s="1851" t="s">
        <v>2431</v>
      </c>
      <c r="F41" s="1851" t="s">
        <v>54</v>
      </c>
      <c r="G41" s="1851" t="s">
        <v>28</v>
      </c>
      <c r="H41" s="1851" t="s">
        <v>28</v>
      </c>
      <c r="I41" s="1851" t="s">
        <v>840</v>
      </c>
    </row>
    <row customHeight="1" ht="11.25">
      <c r="A42" s="1851" t="s">
        <v>2283</v>
      </c>
      <c r="B42" s="1851" t="s">
        <v>16</v>
      </c>
      <c r="C42" s="1851" t="s">
        <v>13</v>
      </c>
      <c r="D42" s="1851" t="s">
        <v>49</v>
      </c>
      <c r="E42" s="1851" t="s">
        <v>52</v>
      </c>
      <c r="F42" s="1851" t="s">
        <v>54</v>
      </c>
      <c r="G42" s="1851" t="s">
        <v>28</v>
      </c>
      <c r="H42" s="1851" t="s">
        <v>28</v>
      </c>
      <c r="I42" s="1851" t="s">
        <v>840</v>
      </c>
    </row>
    <row customHeight="1" ht="11.25">
      <c r="A43" s="1851" t="s">
        <v>2283</v>
      </c>
      <c r="B43" s="1851" t="s">
        <v>16</v>
      </c>
      <c r="C43" s="1851" t="s">
        <v>2432</v>
      </c>
      <c r="D43" s="1851" t="s">
        <v>2433</v>
      </c>
      <c r="E43" s="1851" t="s">
        <v>2434</v>
      </c>
      <c r="F43" s="1851" t="s">
        <v>2294</v>
      </c>
      <c r="G43" s="1851" t="s">
        <v>2435</v>
      </c>
      <c r="H43" s="1851" t="s">
        <v>28</v>
      </c>
      <c r="I43" s="1851" t="s">
        <v>840</v>
      </c>
    </row>
    <row customHeight="1" ht="11.25">
      <c r="A44" s="1851" t="s">
        <v>2283</v>
      </c>
      <c r="B44" s="1851" t="s">
        <v>16</v>
      </c>
      <c r="C44" s="1851" t="s">
        <v>2436</v>
      </c>
      <c r="D44" s="1851" t="s">
        <v>2437</v>
      </c>
      <c r="E44" s="1851" t="s">
        <v>2438</v>
      </c>
      <c r="F44" s="1851" t="s">
        <v>2439</v>
      </c>
      <c r="G44" s="1851" t="s">
        <v>28</v>
      </c>
      <c r="H44" s="1851" t="s">
        <v>28</v>
      </c>
      <c r="I44" s="1851" t="s">
        <v>840</v>
      </c>
    </row>
    <row customHeight="1" ht="11.25">
      <c r="A45" s="1851" t="s">
        <v>2283</v>
      </c>
      <c r="B45" s="1851" t="s">
        <v>16</v>
      </c>
      <c r="C45" s="1851" t="s">
        <v>2440</v>
      </c>
      <c r="D45" s="1851" t="s">
        <v>2441</v>
      </c>
      <c r="E45" s="1851" t="s">
        <v>2442</v>
      </c>
      <c r="F45" s="1851" t="s">
        <v>2315</v>
      </c>
      <c r="G45" s="1851" t="s">
        <v>28</v>
      </c>
      <c r="H45" s="1851" t="s">
        <v>28</v>
      </c>
      <c r="I45" s="1851" t="s">
        <v>840</v>
      </c>
    </row>
    <row customHeight="1" ht="11.25">
      <c r="A46" s="1851" t="s">
        <v>2283</v>
      </c>
      <c r="B46" s="1851" t="s">
        <v>16</v>
      </c>
      <c r="C46" s="1851" t="s">
        <v>2443</v>
      </c>
      <c r="D46" s="1851" t="s">
        <v>2444</v>
      </c>
      <c r="E46" s="1851" t="s">
        <v>2445</v>
      </c>
      <c r="F46" s="1851" t="s">
        <v>2446</v>
      </c>
      <c r="G46" s="1851" t="s">
        <v>28</v>
      </c>
      <c r="H46" s="1851" t="s">
        <v>28</v>
      </c>
      <c r="I46" s="1851" t="s">
        <v>840</v>
      </c>
    </row>
    <row customHeight="1" ht="11.25">
      <c r="A47" s="1851" t="s">
        <v>2283</v>
      </c>
      <c r="B47" s="1851" t="s">
        <v>16</v>
      </c>
      <c r="C47" s="1851" t="s">
        <v>2447</v>
      </c>
      <c r="D47" s="1851" t="s">
        <v>2448</v>
      </c>
      <c r="E47" s="1851" t="s">
        <v>2449</v>
      </c>
      <c r="F47" s="1851" t="s">
        <v>2323</v>
      </c>
      <c r="G47" s="1851" t="s">
        <v>28</v>
      </c>
      <c r="H47" s="1851" t="s">
        <v>28</v>
      </c>
      <c r="I47" s="1851" t="s">
        <v>840</v>
      </c>
    </row>
    <row customHeight="1" ht="11.25">
      <c r="A48" s="1851" t="s">
        <v>2283</v>
      </c>
      <c r="B48" s="1851" t="s">
        <v>16</v>
      </c>
      <c r="C48" s="1851" t="s">
        <v>2450</v>
      </c>
      <c r="D48" s="1851" t="s">
        <v>2451</v>
      </c>
      <c r="E48" s="1851" t="s">
        <v>2452</v>
      </c>
      <c r="F48" s="1851" t="s">
        <v>2323</v>
      </c>
      <c r="G48" s="1851" t="s">
        <v>28</v>
      </c>
      <c r="H48" s="1851" t="s">
        <v>28</v>
      </c>
      <c r="I48" s="1851" t="s">
        <v>840</v>
      </c>
    </row>
    <row customHeight="1" ht="11.25">
      <c r="A49" s="1851" t="s">
        <v>2283</v>
      </c>
      <c r="B49" s="1851" t="s">
        <v>16</v>
      </c>
      <c r="C49" s="1851" t="s">
        <v>2453</v>
      </c>
      <c r="D49" s="1851" t="s">
        <v>2454</v>
      </c>
      <c r="E49" s="1851" t="s">
        <v>2455</v>
      </c>
      <c r="F49" s="1851" t="s">
        <v>2456</v>
      </c>
      <c r="G49" s="1851" t="s">
        <v>28</v>
      </c>
      <c r="H49" s="1851" t="s">
        <v>28</v>
      </c>
      <c r="I49" s="1851" t="s">
        <v>840</v>
      </c>
    </row>
    <row customHeight="1" ht="11.25">
      <c r="A50" s="1851" t="s">
        <v>2283</v>
      </c>
      <c r="B50" s="1851" t="s">
        <v>16</v>
      </c>
      <c r="C50" s="1851" t="s">
        <v>2457</v>
      </c>
      <c r="D50" s="1851" t="s">
        <v>2458</v>
      </c>
      <c r="E50" s="1851" t="s">
        <v>2459</v>
      </c>
      <c r="F50" s="1851" t="s">
        <v>2327</v>
      </c>
      <c r="G50" s="1851" t="s">
        <v>28</v>
      </c>
      <c r="H50" s="1851" t="s">
        <v>28</v>
      </c>
      <c r="I50" s="1851" t="s">
        <v>840</v>
      </c>
    </row>
    <row customHeight="1" ht="11.25">
      <c r="A51" s="1851" t="s">
        <v>2283</v>
      </c>
      <c r="B51" s="1851" t="s">
        <v>16</v>
      </c>
      <c r="C51" s="1851" t="s">
        <v>2460</v>
      </c>
      <c r="D51" s="1851" t="s">
        <v>2461</v>
      </c>
      <c r="E51" s="1851" t="s">
        <v>2462</v>
      </c>
      <c r="F51" s="1851" t="s">
        <v>2446</v>
      </c>
      <c r="G51" s="1851" t="s">
        <v>28</v>
      </c>
      <c r="H51" s="1851" t="s">
        <v>28</v>
      </c>
      <c r="I51" s="1851" t="s">
        <v>840</v>
      </c>
    </row>
    <row customHeight="1" ht="11.25">
      <c r="A52" s="1851" t="s">
        <v>2283</v>
      </c>
      <c r="B52" s="1851" t="s">
        <v>16</v>
      </c>
      <c r="C52" s="1851" t="s">
        <v>2463</v>
      </c>
      <c r="D52" s="1851" t="s">
        <v>2464</v>
      </c>
      <c r="E52" s="1851" t="s">
        <v>2465</v>
      </c>
      <c r="F52" s="1851" t="s">
        <v>2466</v>
      </c>
      <c r="G52" s="1851" t="s">
        <v>28</v>
      </c>
      <c r="H52" s="1851" t="s">
        <v>28</v>
      </c>
      <c r="I52" s="1851" t="s">
        <v>840</v>
      </c>
    </row>
    <row customHeight="1" ht="11.25">
      <c r="A53" s="1851" t="s">
        <v>2283</v>
      </c>
      <c r="B53" s="1851" t="s">
        <v>16</v>
      </c>
      <c r="C53" s="1851" t="s">
        <v>2467</v>
      </c>
      <c r="D53" s="1851" t="s">
        <v>2468</v>
      </c>
      <c r="E53" s="1851" t="s">
        <v>2469</v>
      </c>
      <c r="F53" s="1851" t="s">
        <v>54</v>
      </c>
      <c r="G53" s="1851" t="s">
        <v>28</v>
      </c>
      <c r="H53" s="1851" t="s">
        <v>28</v>
      </c>
      <c r="I53" s="1851" t="s">
        <v>840</v>
      </c>
    </row>
    <row customHeight="1" ht="11.25">
      <c r="A54" s="1851" t="s">
        <v>2283</v>
      </c>
      <c r="B54" s="1851" t="s">
        <v>16</v>
      </c>
      <c r="C54" s="1851" t="s">
        <v>2470</v>
      </c>
      <c r="D54" s="1851" t="s">
        <v>2471</v>
      </c>
      <c r="E54" s="1851" t="s">
        <v>2472</v>
      </c>
      <c r="F54" s="1851" t="s">
        <v>2473</v>
      </c>
      <c r="G54" s="1851" t="s">
        <v>28</v>
      </c>
      <c r="H54" s="1851" t="s">
        <v>28</v>
      </c>
      <c r="I54" s="1851" t="s">
        <v>840</v>
      </c>
    </row>
    <row customHeight="1" ht="11.25">
      <c r="A55" s="1851" t="s">
        <v>2283</v>
      </c>
      <c r="B55" s="1851" t="s">
        <v>16</v>
      </c>
      <c r="C55" s="1851" t="s">
        <v>2474</v>
      </c>
      <c r="D55" s="1851" t="s">
        <v>2475</v>
      </c>
      <c r="E55" s="1851" t="s">
        <v>2476</v>
      </c>
      <c r="F55" s="1851" t="s">
        <v>2339</v>
      </c>
      <c r="G55" s="1851" t="s">
        <v>28</v>
      </c>
      <c r="H55" s="1851" t="s">
        <v>28</v>
      </c>
      <c r="I55" s="1851" t="s">
        <v>840</v>
      </c>
    </row>
    <row customHeight="1" ht="11.25">
      <c r="A56" s="1851" t="s">
        <v>2283</v>
      </c>
      <c r="B56" s="1851" t="s">
        <v>16</v>
      </c>
      <c r="C56" s="1851" t="s">
        <v>2477</v>
      </c>
      <c r="D56" s="1851" t="s">
        <v>2478</v>
      </c>
      <c r="E56" s="1851" t="s">
        <v>2479</v>
      </c>
      <c r="F56" s="1851" t="s">
        <v>2480</v>
      </c>
      <c r="G56" s="1851" t="s">
        <v>28</v>
      </c>
      <c r="H56" s="1851" t="s">
        <v>28</v>
      </c>
      <c r="I56" s="1851" t="s">
        <v>840</v>
      </c>
    </row>
    <row customHeight="1" ht="11.25">
      <c r="A57" s="1851" t="s">
        <v>2283</v>
      </c>
      <c r="B57" s="1851" t="s">
        <v>16</v>
      </c>
      <c r="C57" s="1851" t="s">
        <v>2481</v>
      </c>
      <c r="D57" s="1851" t="s">
        <v>2482</v>
      </c>
      <c r="E57" s="1851" t="s">
        <v>2301</v>
      </c>
      <c r="F57" s="1851" t="s">
        <v>2483</v>
      </c>
      <c r="G57" s="1851" t="s">
        <v>28</v>
      </c>
      <c r="H57" s="1851" t="s">
        <v>28</v>
      </c>
      <c r="I57" s="1851" t="s">
        <v>840</v>
      </c>
    </row>
    <row customHeight="1" ht="11.25">
      <c r="A58" s="1851" t="s">
        <v>2283</v>
      </c>
      <c r="B58" s="1851" t="s">
        <v>16</v>
      </c>
      <c r="C58" s="1851" t="s">
        <v>2484</v>
      </c>
      <c r="D58" s="1851" t="s">
        <v>2485</v>
      </c>
      <c r="E58" s="1851" t="s">
        <v>2486</v>
      </c>
      <c r="F58" s="1851" t="s">
        <v>2487</v>
      </c>
      <c r="G58" s="1851" t="s">
        <v>28</v>
      </c>
      <c r="H58" s="1851" t="s">
        <v>28</v>
      </c>
      <c r="I58" s="1851" t="s">
        <v>840</v>
      </c>
    </row>
    <row customHeight="1" ht="11.25">
      <c r="A59" s="1851" t="s">
        <v>2283</v>
      </c>
      <c r="B59" s="1851" t="s">
        <v>16</v>
      </c>
      <c r="C59" s="1851" t="s">
        <v>2488</v>
      </c>
      <c r="D59" s="1851" t="s">
        <v>2489</v>
      </c>
      <c r="E59" s="1851" t="s">
        <v>2490</v>
      </c>
      <c r="F59" s="1851" t="s">
        <v>2487</v>
      </c>
      <c r="G59" s="1851" t="s">
        <v>28</v>
      </c>
      <c r="H59" s="1851" t="s">
        <v>28</v>
      </c>
      <c r="I59" s="1851" t="s">
        <v>840</v>
      </c>
    </row>
    <row customHeight="1" ht="11.25">
      <c r="A60" s="1851" t="s">
        <v>2283</v>
      </c>
      <c r="B60" s="1851" t="s">
        <v>16</v>
      </c>
      <c r="C60" s="1851" t="s">
        <v>2491</v>
      </c>
      <c r="D60" s="1851" t="s">
        <v>2492</v>
      </c>
      <c r="E60" s="1851" t="s">
        <v>2385</v>
      </c>
      <c r="F60" s="1851" t="s">
        <v>2493</v>
      </c>
      <c r="G60" s="1851" t="s">
        <v>28</v>
      </c>
      <c r="H60" s="1851" t="s">
        <v>28</v>
      </c>
      <c r="I60" s="1851" t="s">
        <v>840</v>
      </c>
    </row>
    <row customHeight="1" ht="11.25">
      <c r="A61" s="1851" t="s">
        <v>2283</v>
      </c>
      <c r="B61" s="1851" t="s">
        <v>16</v>
      </c>
      <c r="C61" s="1851" t="s">
        <v>2494</v>
      </c>
      <c r="D61" s="1851" t="s">
        <v>2495</v>
      </c>
      <c r="E61" s="1851" t="s">
        <v>2496</v>
      </c>
      <c r="F61" s="1851" t="s">
        <v>2323</v>
      </c>
      <c r="G61" s="1851" t="s">
        <v>28</v>
      </c>
      <c r="H61" s="1851" t="s">
        <v>28</v>
      </c>
      <c r="I61" s="1851" t="s">
        <v>840</v>
      </c>
    </row>
    <row customHeight="1" ht="11.25">
      <c r="A62" s="1851" t="s">
        <v>2283</v>
      </c>
      <c r="B62" s="1851" t="s">
        <v>16</v>
      </c>
      <c r="C62" s="1851" t="s">
        <v>2497</v>
      </c>
      <c r="D62" s="1851" t="s">
        <v>2498</v>
      </c>
      <c r="E62" s="1851" t="s">
        <v>2499</v>
      </c>
      <c r="F62" s="1851" t="s">
        <v>2304</v>
      </c>
      <c r="G62" s="1851" t="s">
        <v>28</v>
      </c>
      <c r="H62" s="1851" t="s">
        <v>28</v>
      </c>
      <c r="I62" s="1851" t="s">
        <v>840</v>
      </c>
    </row>
    <row customHeight="1" ht="11.25">
      <c r="A63" s="1851" t="s">
        <v>2283</v>
      </c>
      <c r="B63" s="1851" t="s">
        <v>16</v>
      </c>
      <c r="C63" s="1851" t="s">
        <v>2500</v>
      </c>
      <c r="D63" s="1851" t="s">
        <v>2501</v>
      </c>
      <c r="E63" s="1851" t="s">
        <v>2502</v>
      </c>
      <c r="F63" s="1851" t="s">
        <v>2339</v>
      </c>
      <c r="G63" s="1851" t="s">
        <v>28</v>
      </c>
      <c r="H63" s="1851" t="s">
        <v>28</v>
      </c>
      <c r="I63" s="1851" t="s">
        <v>840</v>
      </c>
    </row>
    <row customHeight="1" ht="11.25">
      <c r="A64" s="1851" t="s">
        <v>2283</v>
      </c>
      <c r="B64" s="1851" t="s">
        <v>16</v>
      </c>
      <c r="C64" s="1851" t="s">
        <v>2503</v>
      </c>
      <c r="D64" s="1851" t="s">
        <v>2504</v>
      </c>
      <c r="E64" s="1851" t="s">
        <v>2505</v>
      </c>
      <c r="F64" s="1851" t="s">
        <v>2290</v>
      </c>
      <c r="G64" s="1851" t="s">
        <v>28</v>
      </c>
      <c r="H64" s="1851" t="s">
        <v>28</v>
      </c>
      <c r="I64" s="1851" t="s">
        <v>840</v>
      </c>
    </row>
    <row customHeight="1" ht="11.25">
      <c r="A65" s="1851" t="s">
        <v>2283</v>
      </c>
      <c r="B65" s="1851" t="s">
        <v>16</v>
      </c>
      <c r="C65" s="1851" t="s">
        <v>2506</v>
      </c>
      <c r="D65" s="1851" t="s">
        <v>2507</v>
      </c>
      <c r="E65" s="1851" t="s">
        <v>2508</v>
      </c>
      <c r="F65" s="1851" t="s">
        <v>54</v>
      </c>
      <c r="G65" s="1851" t="s">
        <v>28</v>
      </c>
      <c r="H65" s="1851" t="s">
        <v>28</v>
      </c>
      <c r="I65" s="1851" t="s">
        <v>840</v>
      </c>
    </row>
    <row customHeight="1" ht="11.25">
      <c r="A66" s="1851" t="s">
        <v>2283</v>
      </c>
      <c r="B66" s="1851" t="s">
        <v>16</v>
      </c>
      <c r="C66" s="1851" t="s">
        <v>2509</v>
      </c>
      <c r="D66" s="1851" t="s">
        <v>2510</v>
      </c>
      <c r="E66" s="1851" t="s">
        <v>2511</v>
      </c>
      <c r="F66" s="1851" t="s">
        <v>2512</v>
      </c>
      <c r="G66" s="1851" t="s">
        <v>2513</v>
      </c>
      <c r="H66" s="1851" t="s">
        <v>28</v>
      </c>
      <c r="I66" s="1851" t="s">
        <v>840</v>
      </c>
    </row>
    <row customHeight="1" ht="11.25">
      <c r="A67" s="1851" t="s">
        <v>2283</v>
      </c>
      <c r="B67" s="1851" t="s">
        <v>16</v>
      </c>
      <c r="C67" s="1851" t="s">
        <v>2514</v>
      </c>
      <c r="D67" s="1851" t="s">
        <v>2515</v>
      </c>
      <c r="E67" s="1851" t="s">
        <v>2516</v>
      </c>
      <c r="F67" s="1851" t="s">
        <v>2290</v>
      </c>
      <c r="G67" s="1851" t="s">
        <v>2517</v>
      </c>
      <c r="H67" s="1851" t="s">
        <v>28</v>
      </c>
      <c r="I67" s="1851" t="s">
        <v>840</v>
      </c>
    </row>
    <row customHeight="1" ht="11.25">
      <c r="A68" s="1851" t="s">
        <v>2283</v>
      </c>
      <c r="B68" s="1851" t="s">
        <v>16</v>
      </c>
      <c r="C68" s="1851" t="s">
        <v>2518</v>
      </c>
      <c r="D68" s="1851" t="s">
        <v>2519</v>
      </c>
      <c r="E68" s="1851" t="s">
        <v>2520</v>
      </c>
      <c r="F68" s="1851" t="s">
        <v>2290</v>
      </c>
      <c r="G68" s="1851" t="s">
        <v>2521</v>
      </c>
      <c r="H68" s="1851" t="s">
        <v>28</v>
      </c>
      <c r="I68" s="1851" t="s">
        <v>840</v>
      </c>
    </row>
    <row customHeight="1" ht="11.25">
      <c r="A69" s="1851" t="s">
        <v>2283</v>
      </c>
      <c r="B69" s="1851" t="s">
        <v>16</v>
      </c>
      <c r="C69" s="1851" t="s">
        <v>2522</v>
      </c>
      <c r="D69" s="1851" t="s">
        <v>2523</v>
      </c>
      <c r="E69" s="1851" t="s">
        <v>2524</v>
      </c>
      <c r="F69" s="1851" t="s">
        <v>2525</v>
      </c>
      <c r="G69" s="1851" t="s">
        <v>28</v>
      </c>
      <c r="H69" s="1851" t="s">
        <v>28</v>
      </c>
      <c r="I69" s="1851" t="s">
        <v>840</v>
      </c>
    </row>
    <row customHeight="1" ht="11.25">
      <c r="A70" s="1851" t="s">
        <v>2283</v>
      </c>
      <c r="B70" s="1851" t="s">
        <v>16</v>
      </c>
      <c r="C70" s="1851" t="s">
        <v>2526</v>
      </c>
      <c r="D70" s="1851" t="s">
        <v>2527</v>
      </c>
      <c r="E70" s="1851" t="s">
        <v>2528</v>
      </c>
      <c r="F70" s="1851" t="s">
        <v>2512</v>
      </c>
      <c r="G70" s="1851" t="s">
        <v>28</v>
      </c>
      <c r="H70" s="1851" t="s">
        <v>28</v>
      </c>
      <c r="I70" s="1851" t="s">
        <v>840</v>
      </c>
    </row>
    <row customHeight="1" ht="11.25">
      <c r="A71" s="1851" t="s">
        <v>2283</v>
      </c>
      <c r="B71" s="1851" t="s">
        <v>16</v>
      </c>
      <c r="C71" s="1851" t="s">
        <v>2529</v>
      </c>
      <c r="D71" s="1851" t="s">
        <v>2530</v>
      </c>
      <c r="E71" s="1851" t="s">
        <v>2531</v>
      </c>
      <c r="F71" s="1851" t="s">
        <v>2339</v>
      </c>
      <c r="G71" s="1851" t="s">
        <v>28</v>
      </c>
      <c r="H71" s="1851" t="s">
        <v>28</v>
      </c>
      <c r="I71" s="1851" t="s">
        <v>840</v>
      </c>
    </row>
    <row customHeight="1" ht="11.25">
      <c r="A72" s="1851" t="s">
        <v>2283</v>
      </c>
      <c r="B72" s="1851" t="s">
        <v>16</v>
      </c>
      <c r="C72" s="1851" t="s">
        <v>2532</v>
      </c>
      <c r="D72" s="1851" t="s">
        <v>2533</v>
      </c>
      <c r="E72" s="1851" t="s">
        <v>2534</v>
      </c>
      <c r="F72" s="1851" t="s">
        <v>2512</v>
      </c>
      <c r="G72" s="1851" t="s">
        <v>28</v>
      </c>
      <c r="H72" s="1851" t="s">
        <v>28</v>
      </c>
      <c r="I72" s="1851" t="s">
        <v>840</v>
      </c>
    </row>
    <row customHeight="1" ht="11.25">
      <c r="A73" s="1851" t="s">
        <v>2283</v>
      </c>
      <c r="B73" s="1851" t="s">
        <v>16</v>
      </c>
      <c r="C73" s="1851" t="s">
        <v>2535</v>
      </c>
      <c r="D73" s="1851" t="s">
        <v>2536</v>
      </c>
      <c r="E73" s="1851" t="s">
        <v>2537</v>
      </c>
      <c r="F73" s="1851" t="s">
        <v>2422</v>
      </c>
      <c r="G73" s="1851" t="s">
        <v>2538</v>
      </c>
      <c r="H73" s="1851" t="s">
        <v>28</v>
      </c>
      <c r="I73" s="1851" t="s">
        <v>840</v>
      </c>
    </row>
    <row customHeight="1" ht="11.25">
      <c r="A74" s="1851" t="s">
        <v>2283</v>
      </c>
      <c r="B74" s="1851" t="s">
        <v>16</v>
      </c>
      <c r="C74" s="1851" t="s">
        <v>2539</v>
      </c>
      <c r="D74" s="1851" t="s">
        <v>2540</v>
      </c>
      <c r="E74" s="1851" t="s">
        <v>2541</v>
      </c>
      <c r="F74" s="1851" t="s">
        <v>2542</v>
      </c>
      <c r="G74" s="1851" t="s">
        <v>2543</v>
      </c>
      <c r="H74" s="1851" t="s">
        <v>28</v>
      </c>
      <c r="I74" s="1851" t="s">
        <v>840</v>
      </c>
    </row>
    <row customHeight="1" ht="11.25">
      <c r="A75" s="1851" t="s">
        <v>2283</v>
      </c>
      <c r="B75" s="1851" t="s">
        <v>16</v>
      </c>
      <c r="C75" s="1851" t="s">
        <v>2544</v>
      </c>
      <c r="D75" s="1851" t="s">
        <v>2545</v>
      </c>
      <c r="E75" s="1851" t="s">
        <v>2546</v>
      </c>
      <c r="F75" s="1851" t="s">
        <v>2512</v>
      </c>
      <c r="G75" s="1851" t="s">
        <v>28</v>
      </c>
      <c r="H75" s="1851" t="s">
        <v>28</v>
      </c>
      <c r="I75" s="1851" t="s">
        <v>840</v>
      </c>
    </row>
    <row customHeight="1" ht="11.25">
      <c r="A76" s="1851" t="s">
        <v>2283</v>
      </c>
      <c r="B76" s="1851" t="s">
        <v>16</v>
      </c>
      <c r="C76" s="1851" t="s">
        <v>2547</v>
      </c>
      <c r="D76" s="1851" t="s">
        <v>2548</v>
      </c>
      <c r="E76" s="1851" t="s">
        <v>2549</v>
      </c>
      <c r="F76" s="1851" t="s">
        <v>2512</v>
      </c>
      <c r="G76" s="1851" t="s">
        <v>28</v>
      </c>
      <c r="H76" s="1851" t="s">
        <v>28</v>
      </c>
      <c r="I76" s="1851" t="s">
        <v>840</v>
      </c>
    </row>
    <row customHeight="1" ht="11.25">
      <c r="A77" s="1851" t="s">
        <v>2283</v>
      </c>
      <c r="B77" s="1851" t="s">
        <v>16</v>
      </c>
      <c r="C77" s="1851" t="s">
        <v>2550</v>
      </c>
      <c r="D77" s="1851" t="s">
        <v>2551</v>
      </c>
      <c r="E77" s="1851" t="s">
        <v>2552</v>
      </c>
      <c r="F77" s="1851" t="s">
        <v>2553</v>
      </c>
      <c r="G77" s="1851" t="s">
        <v>28</v>
      </c>
      <c r="H77" s="1851" t="s">
        <v>28</v>
      </c>
      <c r="I77" s="1851" t="s">
        <v>840</v>
      </c>
    </row>
    <row customHeight="1" ht="11.25">
      <c r="A78" s="1851" t="s">
        <v>2283</v>
      </c>
      <c r="B78" s="1851" t="s">
        <v>16</v>
      </c>
      <c r="C78" s="1851" t="s">
        <v>2554</v>
      </c>
      <c r="D78" s="1851" t="s">
        <v>2555</v>
      </c>
      <c r="E78" s="1851" t="s">
        <v>2556</v>
      </c>
      <c r="F78" s="1851" t="s">
        <v>2286</v>
      </c>
      <c r="G78" s="1851" t="s">
        <v>28</v>
      </c>
      <c r="H78" s="1851" t="s">
        <v>28</v>
      </c>
      <c r="I78" s="1851" t="s">
        <v>840</v>
      </c>
    </row>
    <row customHeight="1" ht="11.25">
      <c r="A79" s="1851" t="s">
        <v>2283</v>
      </c>
      <c r="B79" s="1851" t="s">
        <v>16</v>
      </c>
      <c r="C79" s="1851" t="s">
        <v>2557</v>
      </c>
      <c r="D79" s="1851" t="s">
        <v>2558</v>
      </c>
      <c r="E79" s="1851" t="s">
        <v>2559</v>
      </c>
      <c r="F79" s="1851" t="s">
        <v>2327</v>
      </c>
      <c r="G79" s="1851" t="s">
        <v>28</v>
      </c>
      <c r="H79" s="1851" t="s">
        <v>28</v>
      </c>
      <c r="I79" s="1851" t="s">
        <v>840</v>
      </c>
    </row>
    <row customHeight="1" ht="11.25">
      <c r="A80" s="1851" t="s">
        <v>2283</v>
      </c>
      <c r="B80" s="1851" t="s">
        <v>16</v>
      </c>
      <c r="C80" s="1851" t="s">
        <v>2560</v>
      </c>
      <c r="D80" s="1851" t="s">
        <v>2561</v>
      </c>
      <c r="E80" s="1851" t="s">
        <v>2562</v>
      </c>
      <c r="F80" s="1851" t="s">
        <v>2290</v>
      </c>
      <c r="G80" s="1851" t="s">
        <v>28</v>
      </c>
      <c r="H80" s="1851" t="s">
        <v>28</v>
      </c>
      <c r="I80" s="1851" t="s">
        <v>840</v>
      </c>
    </row>
    <row customHeight="1" ht="11.25">
      <c r="A81" s="1851" t="s">
        <v>2283</v>
      </c>
      <c r="B81" s="1851" t="s">
        <v>16</v>
      </c>
      <c r="C81" s="1851" t="s">
        <v>2563</v>
      </c>
      <c r="D81" s="1851" t="s">
        <v>2564</v>
      </c>
      <c r="E81" s="1851" t="s">
        <v>2565</v>
      </c>
      <c r="F81" s="1851" t="s">
        <v>2566</v>
      </c>
      <c r="G81" s="1851" t="s">
        <v>2567</v>
      </c>
      <c r="H81" s="1851" t="s">
        <v>28</v>
      </c>
      <c r="I81" s="1851" t="s">
        <v>840</v>
      </c>
    </row>
    <row customHeight="1" ht="11.25">
      <c r="A82" s="1851" t="s">
        <v>2283</v>
      </c>
      <c r="B82" s="1851" t="s">
        <v>16</v>
      </c>
      <c r="C82" s="1851" t="s">
        <v>2568</v>
      </c>
      <c r="D82" s="1851" t="s">
        <v>2569</v>
      </c>
      <c r="E82" s="1851" t="s">
        <v>2570</v>
      </c>
      <c r="F82" s="1851" t="s">
        <v>2315</v>
      </c>
      <c r="G82" s="1851" t="s">
        <v>2571</v>
      </c>
      <c r="H82" s="1851" t="s">
        <v>28</v>
      </c>
      <c r="I82" s="1851" t="s">
        <v>840</v>
      </c>
    </row>
    <row customHeight="1" ht="11.25">
      <c r="A83" s="1851" t="s">
        <v>2283</v>
      </c>
      <c r="B83" s="1851" t="s">
        <v>16</v>
      </c>
      <c r="C83" s="1851" t="s">
        <v>2572</v>
      </c>
      <c r="D83" s="1851" t="s">
        <v>2573</v>
      </c>
      <c r="E83" s="1851" t="s">
        <v>2574</v>
      </c>
      <c r="F83" s="1851" t="s">
        <v>2553</v>
      </c>
      <c r="G83" s="1851" t="s">
        <v>28</v>
      </c>
      <c r="H83" s="1851" t="s">
        <v>28</v>
      </c>
      <c r="I83" s="1851" t="s">
        <v>840</v>
      </c>
    </row>
    <row customHeight="1" ht="11.25">
      <c r="A84" s="1851" t="s">
        <v>2283</v>
      </c>
      <c r="B84" s="1851" t="s">
        <v>16</v>
      </c>
      <c r="C84" s="1851" t="s">
        <v>2575</v>
      </c>
      <c r="D84" s="1851" t="s">
        <v>2576</v>
      </c>
      <c r="E84" s="1851" t="s">
        <v>2577</v>
      </c>
      <c r="F84" s="1851" t="s">
        <v>2487</v>
      </c>
      <c r="G84" s="1851" t="s">
        <v>2578</v>
      </c>
      <c r="H84" s="1851" t="s">
        <v>28</v>
      </c>
      <c r="I84" s="1851" t="s">
        <v>840</v>
      </c>
    </row>
    <row customHeight="1" ht="11.25">
      <c r="A85" s="1851" t="s">
        <v>2283</v>
      </c>
      <c r="B85" s="1851" t="s">
        <v>16</v>
      </c>
      <c r="C85" s="1851" t="s">
        <v>2579</v>
      </c>
      <c r="D85" s="1851" t="s">
        <v>2580</v>
      </c>
      <c r="E85" s="1851" t="s">
        <v>2581</v>
      </c>
      <c r="F85" s="1851" t="s">
        <v>2348</v>
      </c>
      <c r="G85" s="1851" t="s">
        <v>28</v>
      </c>
      <c r="H85" s="1851" t="s">
        <v>28</v>
      </c>
      <c r="I85" s="1851" t="s">
        <v>840</v>
      </c>
    </row>
    <row customHeight="1" ht="11.25">
      <c r="A86" s="1851" t="s">
        <v>2283</v>
      </c>
      <c r="B86" s="1851" t="s">
        <v>16</v>
      </c>
      <c r="C86" s="1851" t="s">
        <v>2582</v>
      </c>
      <c r="D86" s="1851" t="s">
        <v>2583</v>
      </c>
      <c r="E86" s="1851" t="s">
        <v>2584</v>
      </c>
      <c r="F86" s="1851" t="s">
        <v>2327</v>
      </c>
      <c r="G86" s="1851" t="s">
        <v>28</v>
      </c>
      <c r="H86" s="1851" t="s">
        <v>28</v>
      </c>
      <c r="I86" s="1851" t="s">
        <v>840</v>
      </c>
    </row>
    <row customHeight="1" ht="11.25">
      <c r="A87" s="1851" t="s">
        <v>2283</v>
      </c>
      <c r="B87" s="1851" t="s">
        <v>16</v>
      </c>
      <c r="C87" s="1851" t="s">
        <v>2585</v>
      </c>
      <c r="D87" s="1851" t="s">
        <v>2586</v>
      </c>
      <c r="E87" s="1851" t="s">
        <v>2587</v>
      </c>
      <c r="F87" s="1851" t="s">
        <v>2466</v>
      </c>
      <c r="G87" s="1851" t="s">
        <v>28</v>
      </c>
      <c r="H87" s="1851" t="s">
        <v>28</v>
      </c>
      <c r="I87" s="1851" t="s">
        <v>840</v>
      </c>
    </row>
    <row customHeight="1" ht="11.25">
      <c r="A88" s="1851" t="s">
        <v>2283</v>
      </c>
      <c r="B88" s="1851" t="s">
        <v>16</v>
      </c>
      <c r="C88" s="1851" t="s">
        <v>2588</v>
      </c>
      <c r="D88" s="1851" t="s">
        <v>2589</v>
      </c>
      <c r="E88" s="1851" t="s">
        <v>2590</v>
      </c>
      <c r="F88" s="1851" t="s">
        <v>2290</v>
      </c>
      <c r="G88" s="1851" t="s">
        <v>28</v>
      </c>
      <c r="H88" s="1851" t="s">
        <v>28</v>
      </c>
      <c r="I88" s="1851" t="s">
        <v>840</v>
      </c>
    </row>
    <row customHeight="1" ht="11.25">
      <c r="A89" s="1851" t="s">
        <v>2283</v>
      </c>
      <c r="B89" s="1851" t="s">
        <v>16</v>
      </c>
      <c r="C89" s="1851" t="s">
        <v>2591</v>
      </c>
      <c r="D89" s="1851" t="s">
        <v>2592</v>
      </c>
      <c r="E89" s="1851" t="s">
        <v>2593</v>
      </c>
      <c r="F89" s="1851" t="s">
        <v>2290</v>
      </c>
      <c r="G89" s="1851" t="s">
        <v>28</v>
      </c>
      <c r="H89" s="1851" t="s">
        <v>28</v>
      </c>
      <c r="I89" s="1851" t="s">
        <v>840</v>
      </c>
    </row>
    <row customHeight="1" ht="11.25">
      <c r="A90" s="1851" t="s">
        <v>2283</v>
      </c>
      <c r="B90" s="1851" t="s">
        <v>16</v>
      </c>
      <c r="C90" s="1851" t="s">
        <v>2594</v>
      </c>
      <c r="D90" s="1851" t="s">
        <v>2595</v>
      </c>
      <c r="E90" s="1851" t="s">
        <v>2596</v>
      </c>
      <c r="F90" s="1851" t="s">
        <v>2466</v>
      </c>
      <c r="G90" s="1851" t="s">
        <v>2349</v>
      </c>
      <c r="H90" s="1851" t="s">
        <v>28</v>
      </c>
      <c r="I90" s="1851" t="s">
        <v>840</v>
      </c>
    </row>
    <row customHeight="1" ht="11.25">
      <c r="A91" s="1851" t="s">
        <v>2283</v>
      </c>
      <c r="B91" s="1851" t="s">
        <v>16</v>
      </c>
      <c r="C91" s="1851" t="s">
        <v>2597</v>
      </c>
      <c r="D91" s="1851" t="s">
        <v>2598</v>
      </c>
      <c r="E91" s="1851" t="s">
        <v>2599</v>
      </c>
      <c r="F91" s="1851" t="s">
        <v>2600</v>
      </c>
      <c r="G91" s="1851" t="s">
        <v>28</v>
      </c>
      <c r="H91" s="1851" t="s">
        <v>28</v>
      </c>
      <c r="I91" s="1851" t="s">
        <v>840</v>
      </c>
    </row>
    <row customHeight="1" ht="11.25">
      <c r="A92" s="1851" t="s">
        <v>2283</v>
      </c>
      <c r="B92" s="1851" t="s">
        <v>16</v>
      </c>
      <c r="C92" s="1851" t="s">
        <v>2601</v>
      </c>
      <c r="D92" s="1851" t="s">
        <v>2602</v>
      </c>
      <c r="E92" s="1851" t="s">
        <v>2603</v>
      </c>
      <c r="F92" s="1851" t="s">
        <v>2356</v>
      </c>
      <c r="G92" s="1851" t="s">
        <v>28</v>
      </c>
      <c r="H92" s="1851" t="s">
        <v>28</v>
      </c>
      <c r="I92" s="1851" t="s">
        <v>840</v>
      </c>
    </row>
    <row customHeight="1" ht="11.25">
      <c r="A93" s="1851" t="s">
        <v>2283</v>
      </c>
      <c r="B93" s="1851" t="s">
        <v>16</v>
      </c>
      <c r="C93" s="1851" t="s">
        <v>2604</v>
      </c>
      <c r="D93" s="1851" t="s">
        <v>2605</v>
      </c>
      <c r="E93" s="1851" t="s">
        <v>2606</v>
      </c>
      <c r="F93" s="1851" t="s">
        <v>2607</v>
      </c>
      <c r="G93" s="1851" t="s">
        <v>28</v>
      </c>
      <c r="H93" s="1851" t="s">
        <v>28</v>
      </c>
      <c r="I93" s="1851" t="s">
        <v>840</v>
      </c>
    </row>
    <row customHeight="1" ht="11.25">
      <c r="A94" s="1851" t="s">
        <v>2283</v>
      </c>
      <c r="B94" s="1851" t="s">
        <v>16</v>
      </c>
      <c r="C94" s="1851" t="s">
        <v>2608</v>
      </c>
      <c r="D94" s="1851" t="s">
        <v>2609</v>
      </c>
      <c r="E94" s="1851" t="s">
        <v>2610</v>
      </c>
      <c r="F94" s="1851" t="s">
        <v>2339</v>
      </c>
      <c r="G94" s="1851" t="s">
        <v>28</v>
      </c>
      <c r="H94" s="1851" t="s">
        <v>28</v>
      </c>
      <c r="I94" s="1851" t="s">
        <v>840</v>
      </c>
    </row>
    <row customHeight="1" ht="11.25">
      <c r="A95" s="1851" t="s">
        <v>2283</v>
      </c>
      <c r="B95" s="1851" t="s">
        <v>16</v>
      </c>
      <c r="C95" s="1851" t="s">
        <v>2611</v>
      </c>
      <c r="D95" s="1851" t="s">
        <v>2612</v>
      </c>
      <c r="E95" s="1851" t="s">
        <v>2613</v>
      </c>
      <c r="F95" s="1851" t="s">
        <v>2290</v>
      </c>
      <c r="G95" s="1851" t="s">
        <v>28</v>
      </c>
      <c r="H95" s="1851" t="s">
        <v>28</v>
      </c>
      <c r="I95" s="1851" t="s">
        <v>840</v>
      </c>
    </row>
    <row customHeight="1" ht="11.25">
      <c r="A96" s="1851" t="s">
        <v>2283</v>
      </c>
      <c r="B96" s="1851" t="s">
        <v>16</v>
      </c>
      <c r="C96" s="1851" t="s">
        <v>2614</v>
      </c>
      <c r="D96" s="1851" t="s">
        <v>2615</v>
      </c>
      <c r="E96" s="1851" t="s">
        <v>2616</v>
      </c>
      <c r="F96" s="1851" t="s">
        <v>2356</v>
      </c>
      <c r="G96" s="1851" t="s">
        <v>2617</v>
      </c>
      <c r="H96" s="1851" t="s">
        <v>28</v>
      </c>
      <c r="I96" s="1851" t="s">
        <v>840</v>
      </c>
    </row>
    <row customHeight="1" ht="11.25">
      <c r="A97" s="1851" t="s">
        <v>2283</v>
      </c>
      <c r="B97" s="1851" t="s">
        <v>16</v>
      </c>
      <c r="C97" s="1851" t="s">
        <v>2618</v>
      </c>
      <c r="D97" s="1851" t="s">
        <v>2619</v>
      </c>
      <c r="E97" s="1851" t="s">
        <v>2620</v>
      </c>
      <c r="F97" s="1851" t="s">
        <v>2621</v>
      </c>
      <c r="G97" s="1851" t="s">
        <v>28</v>
      </c>
      <c r="H97" s="1851" t="s">
        <v>28</v>
      </c>
      <c r="I97" s="1851" t="s">
        <v>840</v>
      </c>
    </row>
    <row customHeight="1" ht="11.25">
      <c r="A98" s="1851" t="s">
        <v>2283</v>
      </c>
      <c r="B98" s="1851" t="s">
        <v>16</v>
      </c>
      <c r="C98" s="1851" t="s">
        <v>2622</v>
      </c>
      <c r="D98" s="1851" t="s">
        <v>2623</v>
      </c>
      <c r="E98" s="1851" t="s">
        <v>2624</v>
      </c>
      <c r="F98" s="1851" t="s">
        <v>2286</v>
      </c>
      <c r="G98" s="1851" t="s">
        <v>28</v>
      </c>
      <c r="H98" s="1851" t="s">
        <v>28</v>
      </c>
      <c r="I98" s="1851" t="s">
        <v>840</v>
      </c>
    </row>
    <row customHeight="1" ht="11.25">
      <c r="A99" s="1851" t="s">
        <v>2283</v>
      </c>
      <c r="B99" s="1851" t="s">
        <v>16</v>
      </c>
      <c r="C99" s="1851" t="s">
        <v>2625</v>
      </c>
      <c r="D99" s="1851" t="s">
        <v>2626</v>
      </c>
      <c r="E99" s="1851" t="s">
        <v>2627</v>
      </c>
      <c r="F99" s="1851" t="s">
        <v>2298</v>
      </c>
      <c r="G99" s="1851" t="s">
        <v>28</v>
      </c>
      <c r="H99" s="1851" t="s">
        <v>28</v>
      </c>
      <c r="I99" s="1851" t="s">
        <v>840</v>
      </c>
    </row>
    <row customHeight="1" ht="11.25">
      <c r="A100" s="1851" t="s">
        <v>2283</v>
      </c>
      <c r="B100" s="1851" t="s">
        <v>16</v>
      </c>
      <c r="C100" s="1851" t="s">
        <v>2628</v>
      </c>
      <c r="D100" s="1851" t="s">
        <v>2629</v>
      </c>
      <c r="E100" s="1851" t="s">
        <v>2630</v>
      </c>
      <c r="F100" s="1851" t="s">
        <v>2290</v>
      </c>
      <c r="G100" s="1851" t="s">
        <v>28</v>
      </c>
      <c r="H100" s="1851" t="s">
        <v>28</v>
      </c>
      <c r="I100" s="1851" t="s">
        <v>840</v>
      </c>
    </row>
    <row customHeight="1" ht="11.25">
      <c r="A101" s="1851" t="s">
        <v>2283</v>
      </c>
      <c r="B101" s="1851" t="s">
        <v>16</v>
      </c>
      <c r="C101" s="1851" t="s">
        <v>2631</v>
      </c>
      <c r="D101" s="1851" t="s">
        <v>2632</v>
      </c>
      <c r="E101" s="1851" t="s">
        <v>2633</v>
      </c>
      <c r="F101" s="1851" t="s">
        <v>2634</v>
      </c>
      <c r="G101" s="1851" t="s">
        <v>2635</v>
      </c>
      <c r="H101" s="1851" t="s">
        <v>28</v>
      </c>
      <c r="I101" s="1851" t="s">
        <v>840</v>
      </c>
    </row>
    <row customHeight="1" ht="11.25">
      <c r="A102" s="1851" t="s">
        <v>2283</v>
      </c>
      <c r="B102" s="1851" t="s">
        <v>16</v>
      </c>
      <c r="C102" s="1851" t="s">
        <v>2636</v>
      </c>
      <c r="D102" s="1851" t="s">
        <v>2637</v>
      </c>
      <c r="E102" s="1851" t="s">
        <v>2638</v>
      </c>
      <c r="F102" s="1851" t="s">
        <v>2607</v>
      </c>
      <c r="G102" s="1851" t="s">
        <v>2639</v>
      </c>
      <c r="H102" s="1851" t="s">
        <v>28</v>
      </c>
      <c r="I102" s="1851" t="s">
        <v>840</v>
      </c>
    </row>
    <row customHeight="1" ht="11.25">
      <c r="A103" s="1851" t="s">
        <v>2283</v>
      </c>
      <c r="B103" s="1851" t="s">
        <v>16</v>
      </c>
      <c r="C103" s="1851" t="s">
        <v>2640</v>
      </c>
      <c r="D103" s="1851" t="s">
        <v>2641</v>
      </c>
      <c r="E103" s="1851" t="s">
        <v>2642</v>
      </c>
      <c r="F103" s="1851" t="s">
        <v>2339</v>
      </c>
      <c r="G103" s="1851" t="s">
        <v>2643</v>
      </c>
      <c r="H103" s="1851" t="s">
        <v>28</v>
      </c>
      <c r="I103" s="1851" t="s">
        <v>840</v>
      </c>
    </row>
    <row customHeight="1" ht="11.25">
      <c r="A104" s="1851" t="s">
        <v>2283</v>
      </c>
      <c r="B104" s="1851" t="s">
        <v>16</v>
      </c>
      <c r="C104" s="1851" t="s">
        <v>2644</v>
      </c>
      <c r="D104" s="1851" t="s">
        <v>2645</v>
      </c>
      <c r="E104" s="1851" t="s">
        <v>2646</v>
      </c>
      <c r="F104" s="1851" t="s">
        <v>2647</v>
      </c>
      <c r="G104" s="1851" t="s">
        <v>28</v>
      </c>
      <c r="H104" s="1851" t="s">
        <v>28</v>
      </c>
      <c r="I104" s="1851" t="s">
        <v>840</v>
      </c>
    </row>
    <row customHeight="1" ht="11.25">
      <c r="A105" s="1851" t="s">
        <v>2283</v>
      </c>
      <c r="B105" s="1851" t="s">
        <v>16</v>
      </c>
      <c r="C105" s="1851" t="s">
        <v>2648</v>
      </c>
      <c r="D105" s="1851" t="s">
        <v>2649</v>
      </c>
      <c r="E105" s="1851" t="s">
        <v>2650</v>
      </c>
      <c r="F105" s="1851" t="s">
        <v>2286</v>
      </c>
      <c r="G105" s="1851" t="s">
        <v>28</v>
      </c>
      <c r="H105" s="1851" t="s">
        <v>28</v>
      </c>
      <c r="I105" s="1851" t="s">
        <v>840</v>
      </c>
    </row>
    <row customHeight="1" ht="11.25">
      <c r="A106" s="1851" t="s">
        <v>2283</v>
      </c>
      <c r="B106" s="1851" t="s">
        <v>16</v>
      </c>
      <c r="C106" s="1851" t="s">
        <v>2651</v>
      </c>
      <c r="D106" s="1851" t="s">
        <v>2652</v>
      </c>
      <c r="E106" s="1851" t="s">
        <v>2385</v>
      </c>
      <c r="F106" s="1851" t="s">
        <v>2653</v>
      </c>
      <c r="G106" s="1851" t="s">
        <v>28</v>
      </c>
      <c r="H106" s="1851" t="s">
        <v>28</v>
      </c>
      <c r="I106" s="1851" t="s">
        <v>840</v>
      </c>
    </row>
    <row customHeight="1" ht="11.25">
      <c r="A107" s="1851" t="s">
        <v>2283</v>
      </c>
      <c r="B107" s="1851" t="s">
        <v>16</v>
      </c>
      <c r="C107" s="1851" t="s">
        <v>2654</v>
      </c>
      <c r="D107" s="1851" t="s">
        <v>2655</v>
      </c>
      <c r="E107" s="1851" t="s">
        <v>2656</v>
      </c>
      <c r="F107" s="1851" t="s">
        <v>2487</v>
      </c>
      <c r="G107" s="1851" t="s">
        <v>28</v>
      </c>
      <c r="H107" s="1851" t="s">
        <v>28</v>
      </c>
      <c r="I107" s="1851" t="s">
        <v>840</v>
      </c>
    </row>
    <row customHeight="1" ht="11.25">
      <c r="A108" s="1851" t="s">
        <v>2283</v>
      </c>
      <c r="B108" s="1851" t="s">
        <v>16</v>
      </c>
      <c r="C108" s="1851" t="s">
        <v>2657</v>
      </c>
      <c r="D108" s="1851" t="s">
        <v>2658</v>
      </c>
      <c r="E108" s="1851" t="s">
        <v>2659</v>
      </c>
      <c r="F108" s="1851" t="s">
        <v>2660</v>
      </c>
      <c r="G108" s="1851" t="s">
        <v>2661</v>
      </c>
      <c r="H108" s="1851" t="s">
        <v>28</v>
      </c>
      <c r="I108" s="1851" t="s">
        <v>840</v>
      </c>
    </row>
    <row customHeight="1" ht="11.25">
      <c r="A109" s="1851" t="s">
        <v>2283</v>
      </c>
      <c r="B109" s="1851" t="s">
        <v>16</v>
      </c>
      <c r="C109" s="1851" t="s">
        <v>2662</v>
      </c>
      <c r="D109" s="1851" t="s">
        <v>2663</v>
      </c>
      <c r="E109" s="1851" t="s">
        <v>2664</v>
      </c>
      <c r="F109" s="1851" t="s">
        <v>2487</v>
      </c>
      <c r="G109" s="1851" t="s">
        <v>28</v>
      </c>
      <c r="H109" s="1851" t="s">
        <v>28</v>
      </c>
      <c r="I109" s="1851" t="s">
        <v>840</v>
      </c>
    </row>
    <row customHeight="1" ht="11.25">
      <c r="A110" s="1851" t="s">
        <v>2283</v>
      </c>
      <c r="B110" s="1851" t="s">
        <v>16</v>
      </c>
      <c r="C110" s="1851" t="s">
        <v>2665</v>
      </c>
      <c r="D110" s="1851" t="s">
        <v>2666</v>
      </c>
      <c r="E110" s="1851" t="s">
        <v>2667</v>
      </c>
      <c r="F110" s="1851" t="s">
        <v>54</v>
      </c>
      <c r="G110" s="1851" t="s">
        <v>28</v>
      </c>
      <c r="H110" s="1851" t="s">
        <v>28</v>
      </c>
      <c r="I110" s="1851" t="s">
        <v>840</v>
      </c>
    </row>
    <row customHeight="1" ht="11.25">
      <c r="A111" s="1851" t="s">
        <v>2283</v>
      </c>
      <c r="B111" s="1851" t="s">
        <v>16</v>
      </c>
      <c r="C111" s="1851" t="s">
        <v>2668</v>
      </c>
      <c r="D111" s="1851" t="s">
        <v>2669</v>
      </c>
      <c r="E111" s="1851" t="s">
        <v>2670</v>
      </c>
      <c r="F111" s="1851" t="s">
        <v>2422</v>
      </c>
      <c r="G111" s="1851" t="s">
        <v>28</v>
      </c>
      <c r="H111" s="1851" t="s">
        <v>28</v>
      </c>
      <c r="I111" s="1851" t="s">
        <v>840</v>
      </c>
    </row>
    <row customHeight="1" ht="11.25">
      <c r="A112" s="1851" t="s">
        <v>2283</v>
      </c>
      <c r="B112" s="1851" t="s">
        <v>16</v>
      </c>
      <c r="C112" s="1851" t="s">
        <v>2671</v>
      </c>
      <c r="D112" s="1851" t="s">
        <v>2672</v>
      </c>
      <c r="E112" s="1851" t="s">
        <v>2673</v>
      </c>
      <c r="F112" s="1851" t="s">
        <v>2294</v>
      </c>
      <c r="G112" s="1851" t="s">
        <v>28</v>
      </c>
      <c r="H112" s="1851" t="s">
        <v>28</v>
      </c>
      <c r="I112" s="1851" t="s">
        <v>840</v>
      </c>
    </row>
    <row customHeight="1" ht="11.25">
      <c r="A113" s="1851" t="s">
        <v>2283</v>
      </c>
      <c r="B113" s="1851" t="s">
        <v>16</v>
      </c>
      <c r="C113" s="1851" t="s">
        <v>2674</v>
      </c>
      <c r="D113" s="1851" t="s">
        <v>2675</v>
      </c>
      <c r="E113" s="1851" t="s">
        <v>2676</v>
      </c>
      <c r="F113" s="1851" t="s">
        <v>2677</v>
      </c>
      <c r="G113" s="1851" t="s">
        <v>28</v>
      </c>
      <c r="H113" s="1851" t="s">
        <v>28</v>
      </c>
      <c r="I113" s="1851" t="s">
        <v>840</v>
      </c>
    </row>
    <row customHeight="1" ht="11.25">
      <c r="A114" s="1851" t="s">
        <v>2283</v>
      </c>
      <c r="B114" s="1851" t="s">
        <v>16</v>
      </c>
      <c r="C114" s="1851" t="s">
        <v>2678</v>
      </c>
      <c r="D114" s="1851" t="s">
        <v>2679</v>
      </c>
      <c r="E114" s="1851" t="s">
        <v>2680</v>
      </c>
      <c r="F114" s="1851" t="s">
        <v>2348</v>
      </c>
      <c r="G114" s="1851" t="s">
        <v>28</v>
      </c>
      <c r="H114" s="1851" t="s">
        <v>28</v>
      </c>
      <c r="I114" s="1851" t="s">
        <v>840</v>
      </c>
    </row>
    <row customHeight="1" ht="11.25">
      <c r="A115" s="1851" t="s">
        <v>2283</v>
      </c>
      <c r="B115" s="1851" t="s">
        <v>16</v>
      </c>
      <c r="C115" s="1851" t="s">
        <v>2681</v>
      </c>
      <c r="D115" s="1851" t="s">
        <v>2682</v>
      </c>
      <c r="E115" s="1851" t="s">
        <v>2683</v>
      </c>
      <c r="F115" s="1851" t="s">
        <v>2327</v>
      </c>
      <c r="G115" s="1851" t="s">
        <v>28</v>
      </c>
      <c r="H115" s="1851" t="s">
        <v>28</v>
      </c>
      <c r="I115" s="1851" t="s">
        <v>840</v>
      </c>
    </row>
    <row customHeight="1" ht="11.25">
      <c r="A116" s="1851" t="s">
        <v>2283</v>
      </c>
      <c r="B116" s="1851" t="s">
        <v>16</v>
      </c>
      <c r="C116" s="1851" t="s">
        <v>2684</v>
      </c>
      <c r="D116" s="1851" t="s">
        <v>2685</v>
      </c>
      <c r="E116" s="1851" t="s">
        <v>2686</v>
      </c>
      <c r="F116" s="1851" t="s">
        <v>54</v>
      </c>
      <c r="G116" s="1851" t="s">
        <v>28</v>
      </c>
      <c r="H116" s="1851" t="s">
        <v>28</v>
      </c>
      <c r="I116" s="1851" t="s">
        <v>840</v>
      </c>
    </row>
    <row customHeight="1" ht="11.25">
      <c r="A117" s="1851" t="s">
        <v>2283</v>
      </c>
      <c r="B117" s="1851" t="s">
        <v>16</v>
      </c>
      <c r="C117" s="1851" t="s">
        <v>2687</v>
      </c>
      <c r="D117" s="1851" t="s">
        <v>2688</v>
      </c>
      <c r="E117" s="1851" t="s">
        <v>2689</v>
      </c>
      <c r="F117" s="1851" t="s">
        <v>2327</v>
      </c>
      <c r="G117" s="1851" t="s">
        <v>28</v>
      </c>
      <c r="H117" s="1851" t="s">
        <v>28</v>
      </c>
      <c r="I117" s="1851" t="s">
        <v>840</v>
      </c>
    </row>
    <row customHeight="1" ht="11.25">
      <c r="A118" s="1851" t="s">
        <v>2283</v>
      </c>
      <c r="B118" s="1851" t="s">
        <v>16</v>
      </c>
      <c r="C118" s="1851" t="s">
        <v>2690</v>
      </c>
      <c r="D118" s="1851" t="s">
        <v>2691</v>
      </c>
      <c r="E118" s="1851" t="s">
        <v>2692</v>
      </c>
      <c r="F118" s="1851" t="s">
        <v>2327</v>
      </c>
      <c r="G118" s="1851" t="s">
        <v>28</v>
      </c>
      <c r="H118" s="1851" t="s">
        <v>28</v>
      </c>
      <c r="I118" s="1851" t="s">
        <v>840</v>
      </c>
    </row>
    <row customHeight="1" ht="11.25">
      <c r="A119" s="1851" t="s">
        <v>2283</v>
      </c>
      <c r="B119" s="1851" t="s">
        <v>16</v>
      </c>
      <c r="C119" s="1851" t="s">
        <v>2693</v>
      </c>
      <c r="D119" s="1851" t="s">
        <v>2694</v>
      </c>
      <c r="E119" s="1851" t="s">
        <v>2695</v>
      </c>
      <c r="F119" s="1851" t="s">
        <v>2487</v>
      </c>
      <c r="G119" s="1851" t="s">
        <v>28</v>
      </c>
      <c r="H119" s="1851" t="s">
        <v>28</v>
      </c>
      <c r="I119" s="1851" t="s">
        <v>840</v>
      </c>
    </row>
    <row customHeight="1" ht="11.25">
      <c r="A120" s="1851" t="s">
        <v>2283</v>
      </c>
      <c r="B120" s="1851" t="s">
        <v>16</v>
      </c>
      <c r="C120" s="1851" t="s">
        <v>2696</v>
      </c>
      <c r="D120" s="1851" t="s">
        <v>2697</v>
      </c>
      <c r="E120" s="1851" t="s">
        <v>2698</v>
      </c>
      <c r="F120" s="1851" t="s">
        <v>2699</v>
      </c>
      <c r="G120" s="1851" t="s">
        <v>28</v>
      </c>
      <c r="H120" s="1851" t="s">
        <v>28</v>
      </c>
      <c r="I120" s="1851" t="s">
        <v>840</v>
      </c>
    </row>
    <row customHeight="1" ht="11.25">
      <c r="A121" s="1851" t="s">
        <v>2283</v>
      </c>
      <c r="B121" s="1851" t="s">
        <v>16</v>
      </c>
      <c r="C121" s="1851" t="s">
        <v>2700</v>
      </c>
      <c r="D121" s="1851" t="s">
        <v>2701</v>
      </c>
      <c r="E121" s="1851" t="s">
        <v>2702</v>
      </c>
      <c r="F121" s="1851" t="s">
        <v>2703</v>
      </c>
      <c r="G121" s="1851" t="s">
        <v>28</v>
      </c>
      <c r="H121" s="1851" t="s">
        <v>28</v>
      </c>
      <c r="I121" s="1851" t="s">
        <v>840</v>
      </c>
    </row>
    <row customHeight="1" ht="11.25">
      <c r="A122" s="1851" t="s">
        <v>2283</v>
      </c>
      <c r="B122" s="1851" t="s">
        <v>16</v>
      </c>
      <c r="C122" s="1851" t="s">
        <v>2704</v>
      </c>
      <c r="D122" s="1851" t="s">
        <v>2705</v>
      </c>
      <c r="E122" s="1851" t="s">
        <v>2706</v>
      </c>
      <c r="F122" s="1851" t="s">
        <v>2315</v>
      </c>
      <c r="G122" s="1851" t="s">
        <v>28</v>
      </c>
      <c r="H122" s="1851" t="s">
        <v>28</v>
      </c>
      <c r="I122" s="1851" t="s">
        <v>840</v>
      </c>
    </row>
    <row customHeight="1" ht="11.25">
      <c r="A123" s="1851" t="s">
        <v>2283</v>
      </c>
      <c r="B123" s="1851" t="s">
        <v>16</v>
      </c>
      <c r="C123" s="1851" t="s">
        <v>2707</v>
      </c>
      <c r="D123" s="1851" t="s">
        <v>2708</v>
      </c>
      <c r="E123" s="1851" t="s">
        <v>2709</v>
      </c>
      <c r="F123" s="1851" t="s">
        <v>2319</v>
      </c>
      <c r="G123" s="1851" t="s">
        <v>28</v>
      </c>
      <c r="H123" s="1851" t="s">
        <v>28</v>
      </c>
      <c r="I123" s="1851" t="s">
        <v>840</v>
      </c>
    </row>
    <row customHeight="1" ht="11.25">
      <c r="A124" s="1851" t="s">
        <v>2283</v>
      </c>
      <c r="B124" s="1851" t="s">
        <v>16</v>
      </c>
      <c r="C124" s="1851" t="s">
        <v>28</v>
      </c>
      <c r="D124" s="1851" t="s">
        <v>2284</v>
      </c>
      <c r="E124" s="1851" t="s">
        <v>2285</v>
      </c>
      <c r="F124" s="1851" t="s">
        <v>2286</v>
      </c>
      <c r="G124" s="1851" t="s">
        <v>28</v>
      </c>
      <c r="H124" s="1851" t="s">
        <v>28</v>
      </c>
      <c r="I124" s="1851" t="s">
        <v>926</v>
      </c>
    </row>
    <row customHeight="1" ht="11.25">
      <c r="A125" s="1851" t="s">
        <v>2283</v>
      </c>
      <c r="B125" s="1851" t="s">
        <v>16</v>
      </c>
      <c r="C125" s="1851" t="s">
        <v>2295</v>
      </c>
      <c r="D125" s="1851" t="s">
        <v>2296</v>
      </c>
      <c r="E125" s="1851" t="s">
        <v>2297</v>
      </c>
      <c r="F125" s="1851" t="s">
        <v>2298</v>
      </c>
      <c r="G125" s="1851" t="s">
        <v>28</v>
      </c>
      <c r="H125" s="1851" t="s">
        <v>28</v>
      </c>
      <c r="I125" s="1851" t="s">
        <v>926</v>
      </c>
    </row>
    <row customHeight="1" ht="11.25">
      <c r="A126" s="1851" t="s">
        <v>2283</v>
      </c>
      <c r="B126" s="1851" t="s">
        <v>16</v>
      </c>
      <c r="C126" s="1851" t="s">
        <v>2299</v>
      </c>
      <c r="D126" s="1851" t="s">
        <v>2300</v>
      </c>
      <c r="E126" s="1851" t="s">
        <v>2301</v>
      </c>
      <c r="F126" s="1851" t="s">
        <v>2302</v>
      </c>
      <c r="G126" s="1851" t="s">
        <v>28</v>
      </c>
      <c r="H126" s="1851" t="s">
        <v>28</v>
      </c>
      <c r="I126" s="1851" t="s">
        <v>926</v>
      </c>
    </row>
    <row customHeight="1" ht="11.25">
      <c r="A127" s="1851" t="s">
        <v>2283</v>
      </c>
      <c r="B127" s="1851" t="s">
        <v>16</v>
      </c>
      <c r="C127" s="1851" t="s">
        <v>2306</v>
      </c>
      <c r="D127" s="1851" t="s">
        <v>2307</v>
      </c>
      <c r="E127" s="1851" t="s">
        <v>2301</v>
      </c>
      <c r="F127" s="1851" t="s">
        <v>2308</v>
      </c>
      <c r="G127" s="1851" t="s">
        <v>28</v>
      </c>
      <c r="H127" s="1851" t="s">
        <v>28</v>
      </c>
      <c r="I127" s="1851" t="s">
        <v>926</v>
      </c>
    </row>
    <row customHeight="1" ht="11.25">
      <c r="A128" s="1851" t="s">
        <v>2283</v>
      </c>
      <c r="B128" s="1851" t="s">
        <v>16</v>
      </c>
      <c r="C128" s="1851" t="s">
        <v>2309</v>
      </c>
      <c r="D128" s="1851" t="s">
        <v>2310</v>
      </c>
      <c r="E128" s="1851" t="s">
        <v>2301</v>
      </c>
      <c r="F128" s="1851" t="s">
        <v>2311</v>
      </c>
      <c r="G128" s="1851" t="s">
        <v>28</v>
      </c>
      <c r="H128" s="1851" t="s">
        <v>28</v>
      </c>
      <c r="I128" s="1851" t="s">
        <v>926</v>
      </c>
    </row>
    <row customHeight="1" ht="11.25">
      <c r="A129" s="1851" t="s">
        <v>2283</v>
      </c>
      <c r="B129" s="1851" t="s">
        <v>16</v>
      </c>
      <c r="C129" s="1851" t="s">
        <v>2316</v>
      </c>
      <c r="D129" s="1851" t="s">
        <v>2317</v>
      </c>
      <c r="E129" s="1851" t="s">
        <v>2318</v>
      </c>
      <c r="F129" s="1851" t="s">
        <v>2319</v>
      </c>
      <c r="G129" s="1851" t="s">
        <v>28</v>
      </c>
      <c r="H129" s="1851" t="s">
        <v>28</v>
      </c>
      <c r="I129" s="1851" t="s">
        <v>926</v>
      </c>
    </row>
    <row customHeight="1" ht="11.25">
      <c r="A130" s="1851" t="s">
        <v>2283</v>
      </c>
      <c r="B130" s="1851" t="s">
        <v>16</v>
      </c>
      <c r="C130" s="1851" t="s">
        <v>2328</v>
      </c>
      <c r="D130" s="1851" t="s">
        <v>2329</v>
      </c>
      <c r="E130" s="1851" t="s">
        <v>2330</v>
      </c>
      <c r="F130" s="1851" t="s">
        <v>2331</v>
      </c>
      <c r="G130" s="1851" t="s">
        <v>2332</v>
      </c>
      <c r="H130" s="1851" t="s">
        <v>28</v>
      </c>
      <c r="I130" s="1851" t="s">
        <v>926</v>
      </c>
    </row>
    <row customHeight="1" ht="11.25">
      <c r="A131" s="1851" t="s">
        <v>2283</v>
      </c>
      <c r="B131" s="1851" t="s">
        <v>16</v>
      </c>
      <c r="C131" s="1851" t="s">
        <v>2345</v>
      </c>
      <c r="D131" s="1851" t="s">
        <v>2346</v>
      </c>
      <c r="E131" s="1851" t="s">
        <v>2347</v>
      </c>
      <c r="F131" s="1851" t="s">
        <v>2348</v>
      </c>
      <c r="G131" s="1851" t="s">
        <v>2349</v>
      </c>
      <c r="H131" s="1851" t="s">
        <v>28</v>
      </c>
      <c r="I131" s="1851" t="s">
        <v>926</v>
      </c>
    </row>
    <row customHeight="1" ht="11.25">
      <c r="A132" s="1851" t="s">
        <v>2283</v>
      </c>
      <c r="B132" s="1851" t="s">
        <v>16</v>
      </c>
      <c r="C132" s="1851" t="s">
        <v>2350</v>
      </c>
      <c r="D132" s="1851" t="s">
        <v>2351</v>
      </c>
      <c r="E132" s="1851" t="s">
        <v>2352</v>
      </c>
      <c r="F132" s="1851" t="s">
        <v>2315</v>
      </c>
      <c r="G132" s="1851" t="s">
        <v>28</v>
      </c>
      <c r="H132" s="1851" t="s">
        <v>28</v>
      </c>
      <c r="I132" s="1851" t="s">
        <v>926</v>
      </c>
    </row>
    <row customHeight="1" ht="11.25">
      <c r="A133" s="1851" t="s">
        <v>2283</v>
      </c>
      <c r="B133" s="1851" t="s">
        <v>16</v>
      </c>
      <c r="C133" s="1851" t="s">
        <v>2357</v>
      </c>
      <c r="D133" s="1851" t="s">
        <v>2358</v>
      </c>
      <c r="E133" s="1851" t="s">
        <v>2359</v>
      </c>
      <c r="F133" s="1851" t="s">
        <v>2327</v>
      </c>
      <c r="G133" s="1851" t="s">
        <v>2360</v>
      </c>
      <c r="H133" s="1851" t="s">
        <v>28</v>
      </c>
      <c r="I133" s="1851" t="s">
        <v>926</v>
      </c>
    </row>
    <row customHeight="1" ht="11.25">
      <c r="A134" s="1851" t="s">
        <v>2283</v>
      </c>
      <c r="B134" s="1851" t="s">
        <v>16</v>
      </c>
      <c r="C134" s="1851" t="s">
        <v>2369</v>
      </c>
      <c r="D134" s="1851" t="s">
        <v>2370</v>
      </c>
      <c r="E134" s="1851" t="s">
        <v>2371</v>
      </c>
      <c r="F134" s="1851" t="s">
        <v>2372</v>
      </c>
      <c r="G134" s="1851" t="s">
        <v>28</v>
      </c>
      <c r="H134" s="1851" t="s">
        <v>28</v>
      </c>
      <c r="I134" s="1851" t="s">
        <v>926</v>
      </c>
    </row>
    <row customHeight="1" ht="11.25">
      <c r="A135" s="1851" t="s">
        <v>2283</v>
      </c>
      <c r="B135" s="1851" t="s">
        <v>16</v>
      </c>
      <c r="C135" s="1851" t="s">
        <v>2387</v>
      </c>
      <c r="D135" s="1851" t="s">
        <v>2388</v>
      </c>
      <c r="E135" s="1851" t="s">
        <v>2385</v>
      </c>
      <c r="F135" s="1851" t="s">
        <v>2389</v>
      </c>
      <c r="G135" s="1851" t="s">
        <v>28</v>
      </c>
      <c r="H135" s="1851" t="s">
        <v>28</v>
      </c>
      <c r="I135" s="1851" t="s">
        <v>926</v>
      </c>
    </row>
    <row customHeight="1" ht="11.25">
      <c r="A136" s="1851" t="s">
        <v>2283</v>
      </c>
      <c r="B136" s="1851" t="s">
        <v>16</v>
      </c>
      <c r="C136" s="1851" t="s">
        <v>2710</v>
      </c>
      <c r="D136" s="1851" t="s">
        <v>49</v>
      </c>
      <c r="E136" s="1851" t="s">
        <v>52</v>
      </c>
      <c r="F136" s="1851" t="s">
        <v>2711</v>
      </c>
      <c r="G136" s="1851" t="s">
        <v>28</v>
      </c>
      <c r="H136" s="1851" t="s">
        <v>28</v>
      </c>
      <c r="I136" s="1851" t="s">
        <v>926</v>
      </c>
    </row>
    <row customHeight="1" ht="11.25">
      <c r="A137" s="1851" t="s">
        <v>2283</v>
      </c>
      <c r="B137" s="1851" t="s">
        <v>16</v>
      </c>
      <c r="C137" s="1851" t="s">
        <v>2712</v>
      </c>
      <c r="D137" s="1851" t="s">
        <v>49</v>
      </c>
      <c r="E137" s="1851" t="s">
        <v>52</v>
      </c>
      <c r="F137" s="1851" t="s">
        <v>2713</v>
      </c>
      <c r="G137" s="1851" t="s">
        <v>28</v>
      </c>
      <c r="H137" s="1851" t="s">
        <v>28</v>
      </c>
      <c r="I137" s="1851" t="s">
        <v>926</v>
      </c>
    </row>
    <row customHeight="1" ht="11.25">
      <c r="A138" s="1851" t="s">
        <v>2283</v>
      </c>
      <c r="B138" s="1851" t="s">
        <v>16</v>
      </c>
      <c r="C138" s="1851" t="s">
        <v>2714</v>
      </c>
      <c r="D138" s="1851" t="s">
        <v>49</v>
      </c>
      <c r="E138" s="1851" t="s">
        <v>52</v>
      </c>
      <c r="F138" s="1851" t="s">
        <v>2715</v>
      </c>
      <c r="G138" s="1851" t="s">
        <v>28</v>
      </c>
      <c r="H138" s="1851" t="s">
        <v>28</v>
      </c>
      <c r="I138" s="1851" t="s">
        <v>926</v>
      </c>
    </row>
    <row customHeight="1" ht="11.25">
      <c r="A139" s="1851" t="s">
        <v>2283</v>
      </c>
      <c r="B139" s="1851" t="s">
        <v>16</v>
      </c>
      <c r="C139" s="1851" t="s">
        <v>2716</v>
      </c>
      <c r="D139" s="1851" t="s">
        <v>49</v>
      </c>
      <c r="E139" s="1851" t="s">
        <v>52</v>
      </c>
      <c r="F139" s="1851" t="s">
        <v>2717</v>
      </c>
      <c r="G139" s="1851" t="s">
        <v>28</v>
      </c>
      <c r="H139" s="1851" t="s">
        <v>28</v>
      </c>
      <c r="I139" s="1851" t="s">
        <v>926</v>
      </c>
    </row>
    <row customHeight="1" ht="11.25">
      <c r="A140" s="1851" t="s">
        <v>2283</v>
      </c>
      <c r="B140" s="1851" t="s">
        <v>16</v>
      </c>
      <c r="C140" s="1851" t="s">
        <v>2718</v>
      </c>
      <c r="D140" s="1851" t="s">
        <v>49</v>
      </c>
      <c r="E140" s="1851" t="s">
        <v>52</v>
      </c>
      <c r="F140" s="1851" t="s">
        <v>2719</v>
      </c>
      <c r="G140" s="1851" t="s">
        <v>28</v>
      </c>
      <c r="H140" s="1851" t="s">
        <v>28</v>
      </c>
      <c r="I140" s="1851" t="s">
        <v>926</v>
      </c>
    </row>
    <row customHeight="1" ht="11.25">
      <c r="A141" s="1851" t="s">
        <v>2283</v>
      </c>
      <c r="B141" s="1851" t="s">
        <v>16</v>
      </c>
      <c r="C141" s="1851" t="s">
        <v>2720</v>
      </c>
      <c r="D141" s="1851" t="s">
        <v>49</v>
      </c>
      <c r="E141" s="1851" t="s">
        <v>52</v>
      </c>
      <c r="F141" s="1851" t="s">
        <v>2721</v>
      </c>
      <c r="G141" s="1851" t="s">
        <v>28</v>
      </c>
      <c r="H141" s="1851" t="s">
        <v>28</v>
      </c>
      <c r="I141" s="1851" t="s">
        <v>926</v>
      </c>
    </row>
    <row customHeight="1" ht="11.25">
      <c r="A142" s="1851" t="s">
        <v>2283</v>
      </c>
      <c r="B142" s="1851" t="s">
        <v>16</v>
      </c>
      <c r="C142" s="1851" t="s">
        <v>2722</v>
      </c>
      <c r="D142" s="1851" t="s">
        <v>49</v>
      </c>
      <c r="E142" s="1851" t="s">
        <v>52</v>
      </c>
      <c r="F142" s="1851" t="s">
        <v>2723</v>
      </c>
      <c r="G142" s="1851" t="s">
        <v>28</v>
      </c>
      <c r="H142" s="1851" t="s">
        <v>28</v>
      </c>
      <c r="I142" s="1851" t="s">
        <v>926</v>
      </c>
    </row>
    <row customHeight="1" ht="11.25">
      <c r="A143" s="1851" t="s">
        <v>2283</v>
      </c>
      <c r="B143" s="1851" t="s">
        <v>16</v>
      </c>
      <c r="C143" s="1851" t="s">
        <v>2724</v>
      </c>
      <c r="D143" s="1851" t="s">
        <v>49</v>
      </c>
      <c r="E143" s="1851" t="s">
        <v>52</v>
      </c>
      <c r="F143" s="1851" t="s">
        <v>2725</v>
      </c>
      <c r="G143" s="1851" t="s">
        <v>28</v>
      </c>
      <c r="H143" s="1851" t="s">
        <v>28</v>
      </c>
      <c r="I143" s="1851" t="s">
        <v>926</v>
      </c>
    </row>
    <row customHeight="1" ht="11.25">
      <c r="A144" s="1851" t="s">
        <v>2283</v>
      </c>
      <c r="B144" s="1851" t="s">
        <v>16</v>
      </c>
      <c r="C144" s="1851" t="s">
        <v>13</v>
      </c>
      <c r="D144" s="1851" t="s">
        <v>49</v>
      </c>
      <c r="E144" s="1851" t="s">
        <v>52</v>
      </c>
      <c r="F144" s="1851" t="s">
        <v>54</v>
      </c>
      <c r="G144" s="1851" t="s">
        <v>28</v>
      </c>
      <c r="H144" s="1851" t="s">
        <v>28</v>
      </c>
      <c r="I144" s="1851" t="s">
        <v>926</v>
      </c>
    </row>
    <row customHeight="1" ht="11.25">
      <c r="A145" s="1851" t="s">
        <v>2283</v>
      </c>
      <c r="B145" s="1851" t="s">
        <v>16</v>
      </c>
      <c r="C145" s="1851" t="s">
        <v>2726</v>
      </c>
      <c r="D145" s="1851" t="s">
        <v>2727</v>
      </c>
      <c r="E145" s="1851" t="s">
        <v>52</v>
      </c>
      <c r="F145" s="1851" t="s">
        <v>2728</v>
      </c>
      <c r="G145" s="1851" t="s">
        <v>28</v>
      </c>
      <c r="H145" s="1851" t="s">
        <v>28</v>
      </c>
      <c r="I145" s="1851" t="s">
        <v>926</v>
      </c>
    </row>
    <row customHeight="1" ht="11.25">
      <c r="A146" s="1851" t="s">
        <v>2283</v>
      </c>
      <c r="B146" s="1851" t="s">
        <v>16</v>
      </c>
      <c r="C146" s="1851" t="s">
        <v>2440</v>
      </c>
      <c r="D146" s="1851" t="s">
        <v>2441</v>
      </c>
      <c r="E146" s="1851" t="s">
        <v>2442</v>
      </c>
      <c r="F146" s="1851" t="s">
        <v>2315</v>
      </c>
      <c r="G146" s="1851" t="s">
        <v>28</v>
      </c>
      <c r="H146" s="1851" t="s">
        <v>28</v>
      </c>
      <c r="I146" s="1851" t="s">
        <v>926</v>
      </c>
    </row>
    <row customHeight="1" ht="11.25">
      <c r="A147" s="1851" t="s">
        <v>2283</v>
      </c>
      <c r="B147" s="1851" t="s">
        <v>16</v>
      </c>
      <c r="C147" s="1851" t="s">
        <v>2447</v>
      </c>
      <c r="D147" s="1851" t="s">
        <v>2448</v>
      </c>
      <c r="E147" s="1851" t="s">
        <v>2449</v>
      </c>
      <c r="F147" s="1851" t="s">
        <v>2323</v>
      </c>
      <c r="G147" s="1851" t="s">
        <v>28</v>
      </c>
      <c r="H147" s="1851" t="s">
        <v>28</v>
      </c>
      <c r="I147" s="1851" t="s">
        <v>926</v>
      </c>
    </row>
    <row customHeight="1" ht="11.25">
      <c r="A148" s="1851" t="s">
        <v>2283</v>
      </c>
      <c r="B148" s="1851" t="s">
        <v>16</v>
      </c>
      <c r="C148" s="1851" t="s">
        <v>2467</v>
      </c>
      <c r="D148" s="1851" t="s">
        <v>2468</v>
      </c>
      <c r="E148" s="1851" t="s">
        <v>2469</v>
      </c>
      <c r="F148" s="1851" t="s">
        <v>54</v>
      </c>
      <c r="G148" s="1851" t="s">
        <v>28</v>
      </c>
      <c r="H148" s="1851" t="s">
        <v>28</v>
      </c>
      <c r="I148" s="1851" t="s">
        <v>926</v>
      </c>
    </row>
    <row customHeight="1" ht="11.25">
      <c r="A149" s="1851" t="s">
        <v>2283</v>
      </c>
      <c r="B149" s="1851" t="s">
        <v>16</v>
      </c>
      <c r="C149" s="1851" t="s">
        <v>2491</v>
      </c>
      <c r="D149" s="1851" t="s">
        <v>2492</v>
      </c>
      <c r="E149" s="1851" t="s">
        <v>2385</v>
      </c>
      <c r="F149" s="1851" t="s">
        <v>2493</v>
      </c>
      <c r="G149" s="1851" t="s">
        <v>28</v>
      </c>
      <c r="H149" s="1851" t="s">
        <v>28</v>
      </c>
      <c r="I149" s="1851" t="s">
        <v>926</v>
      </c>
    </row>
    <row customHeight="1" ht="11.25">
      <c r="A150" s="1851" t="s">
        <v>2283</v>
      </c>
      <c r="B150" s="1851" t="s">
        <v>16</v>
      </c>
      <c r="C150" s="1851" t="s">
        <v>2539</v>
      </c>
      <c r="D150" s="1851" t="s">
        <v>2540</v>
      </c>
      <c r="E150" s="1851" t="s">
        <v>2541</v>
      </c>
      <c r="F150" s="1851" t="s">
        <v>2542</v>
      </c>
      <c r="G150" s="1851" t="s">
        <v>2543</v>
      </c>
      <c r="H150" s="1851" t="s">
        <v>28</v>
      </c>
      <c r="I150" s="1851" t="s">
        <v>926</v>
      </c>
    </row>
    <row customHeight="1" ht="11.25">
      <c r="A151" s="1851" t="s">
        <v>2283</v>
      </c>
      <c r="B151" s="1851" t="s">
        <v>16</v>
      </c>
      <c r="C151" s="1851" t="s">
        <v>2550</v>
      </c>
      <c r="D151" s="1851" t="s">
        <v>2551</v>
      </c>
      <c r="E151" s="1851" t="s">
        <v>2552</v>
      </c>
      <c r="F151" s="1851" t="s">
        <v>2553</v>
      </c>
      <c r="G151" s="1851" t="s">
        <v>28</v>
      </c>
      <c r="H151" s="1851" t="s">
        <v>28</v>
      </c>
      <c r="I151" s="1851" t="s">
        <v>926</v>
      </c>
    </row>
    <row customHeight="1" ht="11.25">
      <c r="A152" s="1851" t="s">
        <v>2283</v>
      </c>
      <c r="B152" s="1851" t="s">
        <v>16</v>
      </c>
      <c r="C152" s="1851" t="s">
        <v>2597</v>
      </c>
      <c r="D152" s="1851" t="s">
        <v>2598</v>
      </c>
      <c r="E152" s="1851" t="s">
        <v>2599</v>
      </c>
      <c r="F152" s="1851" t="s">
        <v>2600</v>
      </c>
      <c r="G152" s="1851" t="s">
        <v>28</v>
      </c>
      <c r="H152" s="1851" t="s">
        <v>28</v>
      </c>
      <c r="I152" s="1851" t="s">
        <v>926</v>
      </c>
    </row>
    <row customHeight="1" ht="11.25">
      <c r="A153" s="1851" t="s">
        <v>2283</v>
      </c>
      <c r="B153" s="1851" t="s">
        <v>16</v>
      </c>
      <c r="C153" s="1851" t="s">
        <v>2648</v>
      </c>
      <c r="D153" s="1851" t="s">
        <v>2649</v>
      </c>
      <c r="E153" s="1851" t="s">
        <v>2650</v>
      </c>
      <c r="F153" s="1851" t="s">
        <v>2286</v>
      </c>
      <c r="G153" s="1851" t="s">
        <v>28</v>
      </c>
      <c r="H153" s="1851" t="s">
        <v>28</v>
      </c>
      <c r="I153" s="1851" t="s">
        <v>926</v>
      </c>
    </row>
    <row customHeight="1" ht="11.25">
      <c r="A154" s="1851" t="s">
        <v>2283</v>
      </c>
      <c r="B154" s="1851" t="s">
        <v>16</v>
      </c>
      <c r="C154" s="1851" t="s">
        <v>2654</v>
      </c>
      <c r="D154" s="1851" t="s">
        <v>2655</v>
      </c>
      <c r="E154" s="1851" t="s">
        <v>2656</v>
      </c>
      <c r="F154" s="1851" t="s">
        <v>2487</v>
      </c>
      <c r="G154" s="1851" t="s">
        <v>28</v>
      </c>
      <c r="H154" s="1851" t="s">
        <v>28</v>
      </c>
      <c r="I154" s="1851" t="s">
        <v>926</v>
      </c>
    </row>
    <row customHeight="1" ht="11.25">
      <c r="A155" s="1851" t="s">
        <v>2283</v>
      </c>
      <c r="B155" s="1851" t="s">
        <v>16</v>
      </c>
      <c r="C155" s="1851" t="s">
        <v>2657</v>
      </c>
      <c r="D155" s="1851" t="s">
        <v>2658</v>
      </c>
      <c r="E155" s="1851" t="s">
        <v>2659</v>
      </c>
      <c r="F155" s="1851" t="s">
        <v>2660</v>
      </c>
      <c r="G155" s="1851" t="s">
        <v>2661</v>
      </c>
      <c r="H155" s="1851" t="s">
        <v>28</v>
      </c>
      <c r="I155" s="1851" t="s">
        <v>926</v>
      </c>
    </row>
    <row customHeight="1" ht="11.25">
      <c r="A156" s="1851" t="s">
        <v>2283</v>
      </c>
      <c r="B156" s="1851" t="s">
        <v>16</v>
      </c>
      <c r="C156" s="1851" t="s">
        <v>2693</v>
      </c>
      <c r="D156" s="1851" t="s">
        <v>2694</v>
      </c>
      <c r="E156" s="1851" t="s">
        <v>2695</v>
      </c>
      <c r="F156" s="1851" t="s">
        <v>2487</v>
      </c>
      <c r="G156" s="1851" t="s">
        <v>28</v>
      </c>
      <c r="H156" s="1851" t="s">
        <v>28</v>
      </c>
      <c r="I156" s="1851" t="s">
        <v>926</v>
      </c>
    </row>
    <row customHeight="1" ht="11.25">
      <c r="A157" s="1851" t="s">
        <v>2283</v>
      </c>
      <c r="B157" s="1851" t="s">
        <v>16</v>
      </c>
      <c r="C157" s="1851" t="s">
        <v>2704</v>
      </c>
      <c r="D157" s="1851" t="s">
        <v>2705</v>
      </c>
      <c r="E157" s="1851" t="s">
        <v>2706</v>
      </c>
      <c r="F157" s="1851" t="s">
        <v>2315</v>
      </c>
      <c r="G157" s="1851" t="s">
        <v>28</v>
      </c>
      <c r="H157" s="1851" t="s">
        <v>28</v>
      </c>
      <c r="I157" s="1851" t="s">
        <v>926</v>
      </c>
    </row>
    <row customHeight="1" ht="11.25">
      <c r="A158" s="1851" t="s">
        <v>2283</v>
      </c>
      <c r="B158" s="1851" t="s">
        <v>16</v>
      </c>
      <c r="C158" s="1851" t="s">
        <v>28</v>
      </c>
      <c r="D158" s="1851" t="s">
        <v>2284</v>
      </c>
      <c r="E158" s="1851" t="s">
        <v>2285</v>
      </c>
      <c r="F158" s="1851" t="s">
        <v>2286</v>
      </c>
      <c r="G158" s="1851" t="s">
        <v>28</v>
      </c>
      <c r="H158" s="1851" t="s">
        <v>28</v>
      </c>
      <c r="I158" s="1851" t="s">
        <v>886</v>
      </c>
    </row>
    <row customHeight="1" ht="11.25">
      <c r="A159" s="1851" t="s">
        <v>2283</v>
      </c>
      <c r="B159" s="1851" t="s">
        <v>16</v>
      </c>
      <c r="C159" s="1851" t="s">
        <v>2287</v>
      </c>
      <c r="D159" s="1851" t="s">
        <v>2288</v>
      </c>
      <c r="E159" s="1851" t="s">
        <v>2289</v>
      </c>
      <c r="F159" s="1851" t="s">
        <v>2290</v>
      </c>
      <c r="G159" s="1851" t="s">
        <v>28</v>
      </c>
      <c r="H159" s="1851" t="s">
        <v>28</v>
      </c>
      <c r="I159" s="1851" t="s">
        <v>886</v>
      </c>
    </row>
    <row customHeight="1" ht="11.25">
      <c r="A160" s="1851" t="s">
        <v>2283</v>
      </c>
      <c r="B160" s="1851" t="s">
        <v>16</v>
      </c>
      <c r="C160" s="1851" t="s">
        <v>2295</v>
      </c>
      <c r="D160" s="1851" t="s">
        <v>2296</v>
      </c>
      <c r="E160" s="1851" t="s">
        <v>2297</v>
      </c>
      <c r="F160" s="1851" t="s">
        <v>2298</v>
      </c>
      <c r="G160" s="1851" t="s">
        <v>28</v>
      </c>
      <c r="H160" s="1851" t="s">
        <v>28</v>
      </c>
      <c r="I160" s="1851" t="s">
        <v>886</v>
      </c>
    </row>
    <row customHeight="1" ht="11.25">
      <c r="A161" s="1851" t="s">
        <v>2283</v>
      </c>
      <c r="B161" s="1851" t="s">
        <v>16</v>
      </c>
      <c r="C161" s="1851" t="s">
        <v>2299</v>
      </c>
      <c r="D161" s="1851" t="s">
        <v>2300</v>
      </c>
      <c r="E161" s="1851" t="s">
        <v>2301</v>
      </c>
      <c r="F161" s="1851" t="s">
        <v>2302</v>
      </c>
      <c r="G161" s="1851" t="s">
        <v>28</v>
      </c>
      <c r="H161" s="1851" t="s">
        <v>28</v>
      </c>
      <c r="I161" s="1851" t="s">
        <v>886</v>
      </c>
    </row>
    <row customHeight="1" ht="11.25">
      <c r="A162" s="1851" t="s">
        <v>2283</v>
      </c>
      <c r="B162" s="1851" t="s">
        <v>16</v>
      </c>
      <c r="C162" s="1851" t="s">
        <v>2303</v>
      </c>
      <c r="D162" s="1851" t="s">
        <v>2300</v>
      </c>
      <c r="E162" s="1851" t="s">
        <v>2301</v>
      </c>
      <c r="F162" s="1851" t="s">
        <v>2304</v>
      </c>
      <c r="G162" s="1851" t="s">
        <v>2305</v>
      </c>
      <c r="H162" s="1851" t="s">
        <v>28</v>
      </c>
      <c r="I162" s="1851" t="s">
        <v>886</v>
      </c>
    </row>
    <row customHeight="1" ht="11.25">
      <c r="A163" s="1851" t="s">
        <v>2283</v>
      </c>
      <c r="B163" s="1851" t="s">
        <v>16</v>
      </c>
      <c r="C163" s="1851" t="s">
        <v>2309</v>
      </c>
      <c r="D163" s="1851" t="s">
        <v>2310</v>
      </c>
      <c r="E163" s="1851" t="s">
        <v>2301</v>
      </c>
      <c r="F163" s="1851" t="s">
        <v>2311</v>
      </c>
      <c r="G163" s="1851" t="s">
        <v>28</v>
      </c>
      <c r="H163" s="1851" t="s">
        <v>28</v>
      </c>
      <c r="I163" s="1851" t="s">
        <v>886</v>
      </c>
    </row>
    <row customHeight="1" ht="11.25">
      <c r="A164" s="1851" t="s">
        <v>2283</v>
      </c>
      <c r="B164" s="1851" t="s">
        <v>16</v>
      </c>
      <c r="C164" s="1851" t="s">
        <v>2312</v>
      </c>
      <c r="D164" s="1851" t="s">
        <v>2313</v>
      </c>
      <c r="E164" s="1851" t="s">
        <v>2314</v>
      </c>
      <c r="F164" s="1851" t="s">
        <v>2315</v>
      </c>
      <c r="G164" s="1851" t="s">
        <v>28</v>
      </c>
      <c r="H164" s="1851" t="s">
        <v>28</v>
      </c>
      <c r="I164" s="1851" t="s">
        <v>886</v>
      </c>
    </row>
    <row customHeight="1" ht="11.25">
      <c r="A165" s="1851" t="s">
        <v>2283</v>
      </c>
      <c r="B165" s="1851" t="s">
        <v>16</v>
      </c>
      <c r="C165" s="1851" t="s">
        <v>2324</v>
      </c>
      <c r="D165" s="1851" t="s">
        <v>2325</v>
      </c>
      <c r="E165" s="1851" t="s">
        <v>2326</v>
      </c>
      <c r="F165" s="1851" t="s">
        <v>2327</v>
      </c>
      <c r="G165" s="1851" t="s">
        <v>28</v>
      </c>
      <c r="H165" s="1851" t="s">
        <v>28</v>
      </c>
      <c r="I165" s="1851" t="s">
        <v>886</v>
      </c>
    </row>
    <row customHeight="1" ht="11.25">
      <c r="A166" s="1851" t="s">
        <v>2283</v>
      </c>
      <c r="B166" s="1851" t="s">
        <v>16</v>
      </c>
      <c r="C166" s="1851" t="s">
        <v>2729</v>
      </c>
      <c r="D166" s="1851" t="s">
        <v>2730</v>
      </c>
      <c r="E166" s="1851" t="s">
        <v>2731</v>
      </c>
      <c r="F166" s="1851" t="s">
        <v>2525</v>
      </c>
      <c r="G166" s="1851" t="s">
        <v>2732</v>
      </c>
      <c r="H166" s="1851" t="s">
        <v>28</v>
      </c>
      <c r="I166" s="1851" t="s">
        <v>886</v>
      </c>
    </row>
    <row customHeight="1" ht="11.25">
      <c r="A167" s="1851" t="s">
        <v>2283</v>
      </c>
      <c r="B167" s="1851" t="s">
        <v>16</v>
      </c>
      <c r="C167" s="1851" t="s">
        <v>2333</v>
      </c>
      <c r="D167" s="1851" t="s">
        <v>2334</v>
      </c>
      <c r="E167" s="1851" t="s">
        <v>2335</v>
      </c>
      <c r="F167" s="1851" t="s">
        <v>2294</v>
      </c>
      <c r="G167" s="1851" t="s">
        <v>28</v>
      </c>
      <c r="H167" s="1851" t="s">
        <v>28</v>
      </c>
      <c r="I167" s="1851" t="s">
        <v>886</v>
      </c>
    </row>
    <row customHeight="1" ht="11.25">
      <c r="A168" s="1851" t="s">
        <v>2283</v>
      </c>
      <c r="B168" s="1851" t="s">
        <v>16</v>
      </c>
      <c r="C168" s="1851" t="s">
        <v>2733</v>
      </c>
      <c r="D168" s="1851" t="s">
        <v>2734</v>
      </c>
      <c r="E168" s="1851" t="s">
        <v>2735</v>
      </c>
      <c r="F168" s="1851" t="s">
        <v>2315</v>
      </c>
      <c r="G168" s="1851" t="s">
        <v>2736</v>
      </c>
      <c r="H168" s="1851" t="s">
        <v>28</v>
      </c>
      <c r="I168" s="1851" t="s">
        <v>886</v>
      </c>
    </row>
    <row customHeight="1" ht="11.25">
      <c r="A169" s="1851" t="s">
        <v>2283</v>
      </c>
      <c r="B169" s="1851" t="s">
        <v>16</v>
      </c>
      <c r="C169" s="1851" t="s">
        <v>2345</v>
      </c>
      <c r="D169" s="1851" t="s">
        <v>2346</v>
      </c>
      <c r="E169" s="1851" t="s">
        <v>2347</v>
      </c>
      <c r="F169" s="1851" t="s">
        <v>2348</v>
      </c>
      <c r="G169" s="1851" t="s">
        <v>2349</v>
      </c>
      <c r="H169" s="1851" t="s">
        <v>28</v>
      </c>
      <c r="I169" s="1851" t="s">
        <v>886</v>
      </c>
    </row>
    <row customHeight="1" ht="11.25">
      <c r="A170" s="1851" t="s">
        <v>2283</v>
      </c>
      <c r="B170" s="1851" t="s">
        <v>16</v>
      </c>
      <c r="C170" s="1851" t="s">
        <v>2737</v>
      </c>
      <c r="D170" s="1851" t="s">
        <v>2738</v>
      </c>
      <c r="E170" s="1851" t="s">
        <v>2739</v>
      </c>
      <c r="F170" s="1851" t="s">
        <v>2294</v>
      </c>
      <c r="G170" s="1851" t="s">
        <v>28</v>
      </c>
      <c r="H170" s="1851" t="s">
        <v>28</v>
      </c>
      <c r="I170" s="1851" t="s">
        <v>886</v>
      </c>
    </row>
    <row customHeight="1" ht="11.25">
      <c r="A171" s="1851" t="s">
        <v>2283</v>
      </c>
      <c r="B171" s="1851" t="s">
        <v>16</v>
      </c>
      <c r="C171" s="1851" t="s">
        <v>2353</v>
      </c>
      <c r="D171" s="1851" t="s">
        <v>2354</v>
      </c>
      <c r="E171" s="1851" t="s">
        <v>2355</v>
      </c>
      <c r="F171" s="1851" t="s">
        <v>2356</v>
      </c>
      <c r="G171" s="1851" t="s">
        <v>28</v>
      </c>
      <c r="H171" s="1851" t="s">
        <v>28</v>
      </c>
      <c r="I171" s="1851" t="s">
        <v>886</v>
      </c>
    </row>
    <row customHeight="1" ht="11.25">
      <c r="A172" s="1851" t="s">
        <v>2283</v>
      </c>
      <c r="B172" s="1851" t="s">
        <v>16</v>
      </c>
      <c r="C172" s="1851" t="s">
        <v>2740</v>
      </c>
      <c r="D172" s="1851" t="s">
        <v>2741</v>
      </c>
      <c r="E172" s="1851" t="s">
        <v>2742</v>
      </c>
      <c r="F172" s="1851" t="s">
        <v>2703</v>
      </c>
      <c r="G172" s="1851" t="s">
        <v>2743</v>
      </c>
      <c r="H172" s="1851" t="s">
        <v>28</v>
      </c>
      <c r="I172" s="1851" t="s">
        <v>886</v>
      </c>
    </row>
    <row customHeight="1" ht="11.25">
      <c r="A173" s="1851" t="s">
        <v>2283</v>
      </c>
      <c r="B173" s="1851" t="s">
        <v>16</v>
      </c>
      <c r="C173" s="1851" t="s">
        <v>2365</v>
      </c>
      <c r="D173" s="1851" t="s">
        <v>2366</v>
      </c>
      <c r="E173" s="1851" t="s">
        <v>2367</v>
      </c>
      <c r="F173" s="1851" t="s">
        <v>2286</v>
      </c>
      <c r="G173" s="1851" t="s">
        <v>2368</v>
      </c>
      <c r="H173" s="1851" t="s">
        <v>28</v>
      </c>
      <c r="I173" s="1851" t="s">
        <v>886</v>
      </c>
    </row>
    <row customHeight="1" ht="11.25">
      <c r="A174" s="1851" t="s">
        <v>2283</v>
      </c>
      <c r="B174" s="1851" t="s">
        <v>16</v>
      </c>
      <c r="C174" s="1851" t="s">
        <v>2744</v>
      </c>
      <c r="D174" s="1851" t="s">
        <v>2745</v>
      </c>
      <c r="E174" s="1851" t="s">
        <v>2746</v>
      </c>
      <c r="F174" s="1851" t="s">
        <v>2747</v>
      </c>
      <c r="G174" s="1851" t="s">
        <v>28</v>
      </c>
      <c r="H174" s="1851" t="s">
        <v>28</v>
      </c>
      <c r="I174" s="1851" t="s">
        <v>886</v>
      </c>
    </row>
    <row customHeight="1" ht="11.25">
      <c r="A175" s="1851" t="s">
        <v>2283</v>
      </c>
      <c r="B175" s="1851" t="s">
        <v>16</v>
      </c>
      <c r="C175" s="1851" t="s">
        <v>2387</v>
      </c>
      <c r="D175" s="1851" t="s">
        <v>2388</v>
      </c>
      <c r="E175" s="1851" t="s">
        <v>2385</v>
      </c>
      <c r="F175" s="1851" t="s">
        <v>2389</v>
      </c>
      <c r="G175" s="1851" t="s">
        <v>28</v>
      </c>
      <c r="H175" s="1851" t="s">
        <v>28</v>
      </c>
      <c r="I175" s="1851" t="s">
        <v>886</v>
      </c>
    </row>
    <row customHeight="1" ht="11.25">
      <c r="A176" s="1851" t="s">
        <v>2283</v>
      </c>
      <c r="B176" s="1851" t="s">
        <v>16</v>
      </c>
      <c r="C176" s="1851" t="s">
        <v>2748</v>
      </c>
      <c r="D176" s="1851" t="s">
        <v>2749</v>
      </c>
      <c r="E176" s="1851" t="s">
        <v>2750</v>
      </c>
      <c r="F176" s="1851" t="s">
        <v>2422</v>
      </c>
      <c r="G176" s="1851" t="s">
        <v>28</v>
      </c>
      <c r="H176" s="1851" t="s">
        <v>2751</v>
      </c>
      <c r="I176" s="1851" t="s">
        <v>886</v>
      </c>
    </row>
    <row customHeight="1" ht="11.25">
      <c r="A177" s="1851" t="s">
        <v>2283</v>
      </c>
      <c r="B177" s="1851" t="s">
        <v>16</v>
      </c>
      <c r="C177" s="1851" t="s">
        <v>2398</v>
      </c>
      <c r="D177" s="1851" t="s">
        <v>2399</v>
      </c>
      <c r="E177" s="1851" t="s">
        <v>2400</v>
      </c>
      <c r="F177" s="1851" t="s">
        <v>2339</v>
      </c>
      <c r="G177" s="1851" t="s">
        <v>28</v>
      </c>
      <c r="H177" s="1851" t="s">
        <v>28</v>
      </c>
      <c r="I177" s="1851" t="s">
        <v>886</v>
      </c>
    </row>
    <row customHeight="1" ht="11.25">
      <c r="A178" s="1851" t="s">
        <v>2283</v>
      </c>
      <c r="B178" s="1851" t="s">
        <v>16</v>
      </c>
      <c r="C178" s="1851" t="s">
        <v>2752</v>
      </c>
      <c r="D178" s="1851" t="s">
        <v>2753</v>
      </c>
      <c r="E178" s="1851" t="s">
        <v>2754</v>
      </c>
      <c r="F178" s="1851" t="s">
        <v>608</v>
      </c>
      <c r="G178" s="1851" t="s">
        <v>28</v>
      </c>
      <c r="H178" s="1851" t="s">
        <v>28</v>
      </c>
      <c r="I178" s="1851" t="s">
        <v>886</v>
      </c>
    </row>
    <row customHeight="1" ht="11.25">
      <c r="A179" s="1851" t="s">
        <v>2283</v>
      </c>
      <c r="B179" s="1851" t="s">
        <v>16</v>
      </c>
      <c r="C179" s="1851" t="s">
        <v>2755</v>
      </c>
      <c r="D179" s="1851" t="s">
        <v>2756</v>
      </c>
      <c r="E179" s="1851" t="s">
        <v>2757</v>
      </c>
      <c r="F179" s="1851" t="s">
        <v>608</v>
      </c>
      <c r="G179" s="1851" t="s">
        <v>28</v>
      </c>
      <c r="H179" s="1851" t="s">
        <v>28</v>
      </c>
      <c r="I179" s="1851" t="s">
        <v>886</v>
      </c>
    </row>
    <row customHeight="1" ht="11.25">
      <c r="A180" s="1851" t="s">
        <v>2283</v>
      </c>
      <c r="B180" s="1851" t="s">
        <v>16</v>
      </c>
      <c r="C180" s="1851" t="s">
        <v>2758</v>
      </c>
      <c r="D180" s="1851" t="s">
        <v>2759</v>
      </c>
      <c r="E180" s="1851" t="s">
        <v>2760</v>
      </c>
      <c r="F180" s="1851" t="s">
        <v>608</v>
      </c>
      <c r="G180" s="1851" t="s">
        <v>28</v>
      </c>
      <c r="H180" s="1851" t="s">
        <v>28</v>
      </c>
      <c r="I180" s="1851" t="s">
        <v>886</v>
      </c>
    </row>
    <row customHeight="1" ht="11.25">
      <c r="A181" s="1851" t="s">
        <v>2283</v>
      </c>
      <c r="B181" s="1851" t="s">
        <v>16</v>
      </c>
      <c r="C181" s="1851" t="s">
        <v>2423</v>
      </c>
      <c r="D181" s="1851" t="s">
        <v>2424</v>
      </c>
      <c r="E181" s="1851" t="s">
        <v>2425</v>
      </c>
      <c r="F181" s="1851" t="s">
        <v>2393</v>
      </c>
      <c r="G181" s="1851" t="s">
        <v>28</v>
      </c>
      <c r="H181" s="1851" t="s">
        <v>28</v>
      </c>
      <c r="I181" s="1851" t="s">
        <v>886</v>
      </c>
    </row>
    <row customHeight="1" ht="11.25">
      <c r="A182" s="1851" t="s">
        <v>2283</v>
      </c>
      <c r="B182" s="1851" t="s">
        <v>16</v>
      </c>
      <c r="C182" s="1851" t="s">
        <v>2761</v>
      </c>
      <c r="D182" s="1851" t="s">
        <v>49</v>
      </c>
      <c r="E182" s="1851" t="s">
        <v>52</v>
      </c>
      <c r="F182" s="1851" t="s">
        <v>2762</v>
      </c>
      <c r="G182" s="1851" t="s">
        <v>28</v>
      </c>
      <c r="H182" s="1851" t="s">
        <v>28</v>
      </c>
      <c r="I182" s="1851" t="s">
        <v>886</v>
      </c>
    </row>
    <row customHeight="1" ht="11.25">
      <c r="A183" s="1851" t="s">
        <v>2283</v>
      </c>
      <c r="B183" s="1851" t="s">
        <v>16</v>
      </c>
      <c r="C183" s="1851" t="s">
        <v>2710</v>
      </c>
      <c r="D183" s="1851" t="s">
        <v>49</v>
      </c>
      <c r="E183" s="1851" t="s">
        <v>52</v>
      </c>
      <c r="F183" s="1851" t="s">
        <v>2711</v>
      </c>
      <c r="G183" s="1851" t="s">
        <v>28</v>
      </c>
      <c r="H183" s="1851" t="s">
        <v>28</v>
      </c>
      <c r="I183" s="1851" t="s">
        <v>886</v>
      </c>
    </row>
    <row customHeight="1" ht="11.25">
      <c r="A184" s="1851" t="s">
        <v>2283</v>
      </c>
      <c r="B184" s="1851" t="s">
        <v>16</v>
      </c>
      <c r="C184" s="1851" t="s">
        <v>2712</v>
      </c>
      <c r="D184" s="1851" t="s">
        <v>49</v>
      </c>
      <c r="E184" s="1851" t="s">
        <v>52</v>
      </c>
      <c r="F184" s="1851" t="s">
        <v>2713</v>
      </c>
      <c r="G184" s="1851" t="s">
        <v>28</v>
      </c>
      <c r="H184" s="1851" t="s">
        <v>28</v>
      </c>
      <c r="I184" s="1851" t="s">
        <v>886</v>
      </c>
    </row>
    <row customHeight="1" ht="11.25">
      <c r="A185" s="1851" t="s">
        <v>2283</v>
      </c>
      <c r="B185" s="1851" t="s">
        <v>16</v>
      </c>
      <c r="C185" s="1851" t="s">
        <v>2714</v>
      </c>
      <c r="D185" s="1851" t="s">
        <v>49</v>
      </c>
      <c r="E185" s="1851" t="s">
        <v>52</v>
      </c>
      <c r="F185" s="1851" t="s">
        <v>2715</v>
      </c>
      <c r="G185" s="1851" t="s">
        <v>28</v>
      </c>
      <c r="H185" s="1851" t="s">
        <v>28</v>
      </c>
      <c r="I185" s="1851" t="s">
        <v>886</v>
      </c>
    </row>
    <row customHeight="1" ht="11.25">
      <c r="A186" s="1851" t="s">
        <v>2283</v>
      </c>
      <c r="B186" s="1851" t="s">
        <v>16</v>
      </c>
      <c r="C186" s="1851" t="s">
        <v>2763</v>
      </c>
      <c r="D186" s="1851" t="s">
        <v>49</v>
      </c>
      <c r="E186" s="1851" t="s">
        <v>52</v>
      </c>
      <c r="F186" s="1851" t="s">
        <v>2764</v>
      </c>
      <c r="G186" s="1851" t="s">
        <v>28</v>
      </c>
      <c r="H186" s="1851" t="s">
        <v>28</v>
      </c>
      <c r="I186" s="1851" t="s">
        <v>886</v>
      </c>
    </row>
    <row customHeight="1" ht="11.25">
      <c r="A187" s="1851" t="s">
        <v>2283</v>
      </c>
      <c r="B187" s="1851" t="s">
        <v>16</v>
      </c>
      <c r="C187" s="1851" t="s">
        <v>2716</v>
      </c>
      <c r="D187" s="1851" t="s">
        <v>49</v>
      </c>
      <c r="E187" s="1851" t="s">
        <v>52</v>
      </c>
      <c r="F187" s="1851" t="s">
        <v>2717</v>
      </c>
      <c r="G187" s="1851" t="s">
        <v>28</v>
      </c>
      <c r="H187" s="1851" t="s">
        <v>28</v>
      </c>
      <c r="I187" s="1851" t="s">
        <v>886</v>
      </c>
    </row>
    <row customHeight="1" ht="11.25">
      <c r="A188" s="1851" t="s">
        <v>2283</v>
      </c>
      <c r="B188" s="1851" t="s">
        <v>16</v>
      </c>
      <c r="C188" s="1851" t="s">
        <v>2718</v>
      </c>
      <c r="D188" s="1851" t="s">
        <v>49</v>
      </c>
      <c r="E188" s="1851" t="s">
        <v>52</v>
      </c>
      <c r="F188" s="1851" t="s">
        <v>2719</v>
      </c>
      <c r="G188" s="1851" t="s">
        <v>28</v>
      </c>
      <c r="H188" s="1851" t="s">
        <v>28</v>
      </c>
      <c r="I188" s="1851" t="s">
        <v>886</v>
      </c>
    </row>
    <row customHeight="1" ht="11.25">
      <c r="A189" s="1851" t="s">
        <v>2283</v>
      </c>
      <c r="B189" s="1851" t="s">
        <v>16</v>
      </c>
      <c r="C189" s="1851" t="s">
        <v>2720</v>
      </c>
      <c r="D189" s="1851" t="s">
        <v>49</v>
      </c>
      <c r="E189" s="1851" t="s">
        <v>52</v>
      </c>
      <c r="F189" s="1851" t="s">
        <v>2721</v>
      </c>
      <c r="G189" s="1851" t="s">
        <v>28</v>
      </c>
      <c r="H189" s="1851" t="s">
        <v>28</v>
      </c>
      <c r="I189" s="1851" t="s">
        <v>886</v>
      </c>
    </row>
    <row customHeight="1" ht="11.25">
      <c r="A190" s="1851" t="s">
        <v>2283</v>
      </c>
      <c r="B190" s="1851" t="s">
        <v>16</v>
      </c>
      <c r="C190" s="1851" t="s">
        <v>2722</v>
      </c>
      <c r="D190" s="1851" t="s">
        <v>49</v>
      </c>
      <c r="E190" s="1851" t="s">
        <v>52</v>
      </c>
      <c r="F190" s="1851" t="s">
        <v>2723</v>
      </c>
      <c r="G190" s="1851" t="s">
        <v>28</v>
      </c>
      <c r="H190" s="1851" t="s">
        <v>28</v>
      </c>
      <c r="I190" s="1851" t="s">
        <v>886</v>
      </c>
    </row>
    <row customHeight="1" ht="11.25">
      <c r="A191" s="1851" t="s">
        <v>2283</v>
      </c>
      <c r="B191" s="1851" t="s">
        <v>16</v>
      </c>
      <c r="C191" s="1851" t="s">
        <v>2724</v>
      </c>
      <c r="D191" s="1851" t="s">
        <v>49</v>
      </c>
      <c r="E191" s="1851" t="s">
        <v>52</v>
      </c>
      <c r="F191" s="1851" t="s">
        <v>2725</v>
      </c>
      <c r="G191" s="1851" t="s">
        <v>28</v>
      </c>
      <c r="H191" s="1851" t="s">
        <v>28</v>
      </c>
      <c r="I191" s="1851" t="s">
        <v>886</v>
      </c>
    </row>
    <row customHeight="1" ht="11.25">
      <c r="A192" s="1851" t="s">
        <v>2283</v>
      </c>
      <c r="B192" s="1851" t="s">
        <v>16</v>
      </c>
      <c r="C192" s="1851" t="s">
        <v>13</v>
      </c>
      <c r="D192" s="1851" t="s">
        <v>49</v>
      </c>
      <c r="E192" s="1851" t="s">
        <v>52</v>
      </c>
      <c r="F192" s="1851" t="s">
        <v>54</v>
      </c>
      <c r="G192" s="1851" t="s">
        <v>28</v>
      </c>
      <c r="H192" s="1851" t="s">
        <v>28</v>
      </c>
      <c r="I192" s="1851" t="s">
        <v>886</v>
      </c>
    </row>
    <row customHeight="1" ht="11.25">
      <c r="A193" s="1851" t="s">
        <v>2283</v>
      </c>
      <c r="B193" s="1851" t="s">
        <v>16</v>
      </c>
      <c r="C193" s="1851" t="s">
        <v>2765</v>
      </c>
      <c r="D193" s="1851" t="s">
        <v>2766</v>
      </c>
      <c r="E193" s="1851" t="s">
        <v>2767</v>
      </c>
      <c r="F193" s="1851" t="s">
        <v>2315</v>
      </c>
      <c r="G193" s="1851" t="s">
        <v>28</v>
      </c>
      <c r="H193" s="1851" t="s">
        <v>28</v>
      </c>
      <c r="I193" s="1851" t="s">
        <v>886</v>
      </c>
    </row>
    <row customHeight="1" ht="11.25">
      <c r="A194" s="1851" t="s">
        <v>2283</v>
      </c>
      <c r="B194" s="1851" t="s">
        <v>16</v>
      </c>
      <c r="C194" s="1851" t="s">
        <v>2768</v>
      </c>
      <c r="D194" s="1851" t="s">
        <v>2766</v>
      </c>
      <c r="E194" s="1851" t="s">
        <v>2767</v>
      </c>
      <c r="F194" s="1851" t="s">
        <v>2769</v>
      </c>
      <c r="G194" s="1851" t="s">
        <v>28</v>
      </c>
      <c r="H194" s="1851" t="s">
        <v>28</v>
      </c>
      <c r="I194" s="1851" t="s">
        <v>886</v>
      </c>
    </row>
    <row customHeight="1" ht="11.25">
      <c r="A195" s="1851" t="s">
        <v>2283</v>
      </c>
      <c r="B195" s="1851" t="s">
        <v>16</v>
      </c>
      <c r="C195" s="1851" t="s">
        <v>2770</v>
      </c>
      <c r="D195" s="1851" t="s">
        <v>2727</v>
      </c>
      <c r="E195" s="1851" t="s">
        <v>52</v>
      </c>
      <c r="F195" s="1851" t="s">
        <v>2771</v>
      </c>
      <c r="G195" s="1851" t="s">
        <v>28</v>
      </c>
      <c r="H195" s="1851" t="s">
        <v>28</v>
      </c>
      <c r="I195" s="1851" t="s">
        <v>886</v>
      </c>
    </row>
    <row customHeight="1" ht="11.25">
      <c r="A196" s="1851" t="s">
        <v>2283</v>
      </c>
      <c r="B196" s="1851" t="s">
        <v>16</v>
      </c>
      <c r="C196" s="1851" t="s">
        <v>2726</v>
      </c>
      <c r="D196" s="1851" t="s">
        <v>2727</v>
      </c>
      <c r="E196" s="1851" t="s">
        <v>52</v>
      </c>
      <c r="F196" s="1851" t="s">
        <v>2728</v>
      </c>
      <c r="G196" s="1851" t="s">
        <v>28</v>
      </c>
      <c r="H196" s="1851" t="s">
        <v>28</v>
      </c>
      <c r="I196" s="1851" t="s">
        <v>886</v>
      </c>
    </row>
    <row customHeight="1" ht="11.25">
      <c r="A197" s="1851" t="s">
        <v>2283</v>
      </c>
      <c r="B197" s="1851" t="s">
        <v>16</v>
      </c>
      <c r="C197" s="1851" t="s">
        <v>2772</v>
      </c>
      <c r="D197" s="1851" t="s">
        <v>2773</v>
      </c>
      <c r="E197" s="1851" t="s">
        <v>2774</v>
      </c>
      <c r="F197" s="1851" t="s">
        <v>2327</v>
      </c>
      <c r="G197" s="1851" t="s">
        <v>28</v>
      </c>
      <c r="H197" s="1851" t="s">
        <v>28</v>
      </c>
      <c r="I197" s="1851" t="s">
        <v>886</v>
      </c>
    </row>
    <row customHeight="1" ht="11.25">
      <c r="A198" s="1851" t="s">
        <v>2283</v>
      </c>
      <c r="B198" s="1851" t="s">
        <v>16</v>
      </c>
      <c r="C198" s="1851" t="s">
        <v>2775</v>
      </c>
      <c r="D198" s="1851" t="s">
        <v>2776</v>
      </c>
      <c r="E198" s="1851" t="s">
        <v>2777</v>
      </c>
      <c r="F198" s="1851" t="s">
        <v>2512</v>
      </c>
      <c r="G198" s="1851" t="s">
        <v>28</v>
      </c>
      <c r="H198" s="1851" t="s">
        <v>28</v>
      </c>
      <c r="I198" s="1851" t="s">
        <v>886</v>
      </c>
    </row>
    <row customHeight="1" ht="11.25">
      <c r="A199" s="1851" t="s">
        <v>2283</v>
      </c>
      <c r="B199" s="1851" t="s">
        <v>16</v>
      </c>
      <c r="C199" s="1851" t="s">
        <v>2778</v>
      </c>
      <c r="D199" s="1851" t="s">
        <v>2779</v>
      </c>
      <c r="E199" s="1851" t="s">
        <v>2780</v>
      </c>
      <c r="F199" s="1851" t="s">
        <v>2621</v>
      </c>
      <c r="G199" s="1851" t="s">
        <v>28</v>
      </c>
      <c r="H199" s="1851" t="s">
        <v>28</v>
      </c>
      <c r="I199" s="1851" t="s">
        <v>886</v>
      </c>
    </row>
    <row customHeight="1" ht="11.25">
      <c r="A200" s="1851" t="s">
        <v>2283</v>
      </c>
      <c r="B200" s="1851" t="s">
        <v>16</v>
      </c>
      <c r="C200" s="1851" t="s">
        <v>2781</v>
      </c>
      <c r="D200" s="1851" t="s">
        <v>2782</v>
      </c>
      <c r="E200" s="1851" t="s">
        <v>2783</v>
      </c>
      <c r="F200" s="1851" t="s">
        <v>2348</v>
      </c>
      <c r="G200" s="1851" t="s">
        <v>28</v>
      </c>
      <c r="H200" s="1851" t="s">
        <v>28</v>
      </c>
      <c r="I200" s="1851" t="s">
        <v>886</v>
      </c>
    </row>
    <row customHeight="1" ht="11.25">
      <c r="A201" s="1851" t="s">
        <v>2283</v>
      </c>
      <c r="B201" s="1851" t="s">
        <v>16</v>
      </c>
      <c r="C201" s="1851" t="s">
        <v>2784</v>
      </c>
      <c r="D201" s="1851" t="s">
        <v>2785</v>
      </c>
      <c r="E201" s="1851" t="s">
        <v>2786</v>
      </c>
      <c r="F201" s="1851" t="s">
        <v>2439</v>
      </c>
      <c r="G201" s="1851" t="s">
        <v>28</v>
      </c>
      <c r="H201" s="1851" t="s">
        <v>28</v>
      </c>
      <c r="I201" s="1851" t="s">
        <v>886</v>
      </c>
    </row>
    <row customHeight="1" ht="11.25">
      <c r="A202" s="1851" t="s">
        <v>2283</v>
      </c>
      <c r="B202" s="1851" t="s">
        <v>16</v>
      </c>
      <c r="C202" s="1851" t="s">
        <v>2787</v>
      </c>
      <c r="D202" s="1851" t="s">
        <v>2788</v>
      </c>
      <c r="E202" s="1851" t="s">
        <v>2789</v>
      </c>
      <c r="F202" s="1851" t="s">
        <v>2790</v>
      </c>
      <c r="G202" s="1851" t="s">
        <v>28</v>
      </c>
      <c r="H202" s="1851" t="s">
        <v>28</v>
      </c>
      <c r="I202" s="1851" t="s">
        <v>886</v>
      </c>
    </row>
    <row customHeight="1" ht="11.25">
      <c r="A203" s="1851" t="s">
        <v>2283</v>
      </c>
      <c r="B203" s="1851" t="s">
        <v>16</v>
      </c>
      <c r="C203" s="1851" t="s">
        <v>2791</v>
      </c>
      <c r="D203" s="1851" t="s">
        <v>2792</v>
      </c>
      <c r="E203" s="1851" t="s">
        <v>2793</v>
      </c>
      <c r="F203" s="1851" t="s">
        <v>2348</v>
      </c>
      <c r="G203" s="1851" t="s">
        <v>28</v>
      </c>
      <c r="H203" s="1851" t="s">
        <v>28</v>
      </c>
      <c r="I203" s="1851" t="s">
        <v>886</v>
      </c>
    </row>
    <row customHeight="1" ht="11.25">
      <c r="A204" s="1851" t="s">
        <v>2283</v>
      </c>
      <c r="B204" s="1851" t="s">
        <v>16</v>
      </c>
      <c r="C204" s="1851" t="s">
        <v>2436</v>
      </c>
      <c r="D204" s="1851" t="s">
        <v>2437</v>
      </c>
      <c r="E204" s="1851" t="s">
        <v>2438</v>
      </c>
      <c r="F204" s="1851" t="s">
        <v>2439</v>
      </c>
      <c r="G204" s="1851" t="s">
        <v>28</v>
      </c>
      <c r="H204" s="1851" t="s">
        <v>28</v>
      </c>
      <c r="I204" s="1851" t="s">
        <v>886</v>
      </c>
    </row>
    <row customHeight="1" ht="11.25">
      <c r="A205" s="1851" t="s">
        <v>2283</v>
      </c>
      <c r="B205" s="1851" t="s">
        <v>16</v>
      </c>
      <c r="C205" s="1851" t="s">
        <v>2794</v>
      </c>
      <c r="D205" s="1851" t="s">
        <v>2795</v>
      </c>
      <c r="E205" s="1851" t="s">
        <v>2796</v>
      </c>
      <c r="F205" s="1851" t="s">
        <v>2456</v>
      </c>
      <c r="G205" s="1851" t="s">
        <v>2797</v>
      </c>
      <c r="H205" s="1851" t="s">
        <v>28</v>
      </c>
      <c r="I205" s="1851" t="s">
        <v>886</v>
      </c>
    </row>
    <row customHeight="1" ht="11.25">
      <c r="A206" s="1851" t="s">
        <v>2283</v>
      </c>
      <c r="B206" s="1851" t="s">
        <v>16</v>
      </c>
      <c r="C206" s="1851" t="s">
        <v>2798</v>
      </c>
      <c r="D206" s="1851" t="s">
        <v>2799</v>
      </c>
      <c r="E206" s="1851" t="s">
        <v>2800</v>
      </c>
      <c r="F206" s="1851" t="s">
        <v>2801</v>
      </c>
      <c r="G206" s="1851" t="s">
        <v>28</v>
      </c>
      <c r="H206" s="1851" t="s">
        <v>28</v>
      </c>
      <c r="I206" s="1851" t="s">
        <v>886</v>
      </c>
    </row>
    <row customHeight="1" ht="11.25">
      <c r="A207" s="1851" t="s">
        <v>2283</v>
      </c>
      <c r="B207" s="1851" t="s">
        <v>16</v>
      </c>
      <c r="C207" s="1851" t="s">
        <v>2802</v>
      </c>
      <c r="D207" s="1851" t="s">
        <v>2803</v>
      </c>
      <c r="E207" s="1851" t="s">
        <v>2804</v>
      </c>
      <c r="F207" s="1851" t="s">
        <v>2327</v>
      </c>
      <c r="G207" s="1851" t="s">
        <v>2805</v>
      </c>
      <c r="H207" s="1851" t="s">
        <v>28</v>
      </c>
      <c r="I207" s="1851" t="s">
        <v>886</v>
      </c>
    </row>
    <row customHeight="1" ht="11.25">
      <c r="A208" s="1851" t="s">
        <v>2283</v>
      </c>
      <c r="B208" s="1851" t="s">
        <v>16</v>
      </c>
      <c r="C208" s="1851" t="s">
        <v>2806</v>
      </c>
      <c r="D208" s="1851" t="s">
        <v>2807</v>
      </c>
      <c r="E208" s="1851" t="s">
        <v>2808</v>
      </c>
      <c r="F208" s="1851" t="s">
        <v>2327</v>
      </c>
      <c r="G208" s="1851" t="s">
        <v>2809</v>
      </c>
      <c r="H208" s="1851" t="s">
        <v>28</v>
      </c>
      <c r="I208" s="1851" t="s">
        <v>886</v>
      </c>
    </row>
    <row customHeight="1" ht="11.25">
      <c r="A209" s="1851" t="s">
        <v>2283</v>
      </c>
      <c r="B209" s="1851" t="s">
        <v>16</v>
      </c>
      <c r="C209" s="1851" t="s">
        <v>2443</v>
      </c>
      <c r="D209" s="1851" t="s">
        <v>2444</v>
      </c>
      <c r="E209" s="1851" t="s">
        <v>2445</v>
      </c>
      <c r="F209" s="1851" t="s">
        <v>2446</v>
      </c>
      <c r="G209" s="1851" t="s">
        <v>28</v>
      </c>
      <c r="H209" s="1851" t="s">
        <v>28</v>
      </c>
      <c r="I209" s="1851" t="s">
        <v>886</v>
      </c>
    </row>
    <row customHeight="1" ht="11.25">
      <c r="A210" s="1851" t="s">
        <v>2283</v>
      </c>
      <c r="B210" s="1851" t="s">
        <v>16</v>
      </c>
      <c r="C210" s="1851" t="s">
        <v>2447</v>
      </c>
      <c r="D210" s="1851" t="s">
        <v>2448</v>
      </c>
      <c r="E210" s="1851" t="s">
        <v>2449</v>
      </c>
      <c r="F210" s="1851" t="s">
        <v>2323</v>
      </c>
      <c r="G210" s="1851" t="s">
        <v>28</v>
      </c>
      <c r="H210" s="1851" t="s">
        <v>28</v>
      </c>
      <c r="I210" s="1851" t="s">
        <v>886</v>
      </c>
    </row>
    <row customHeight="1" ht="11.25">
      <c r="A211" s="1851" t="s">
        <v>2283</v>
      </c>
      <c r="B211" s="1851" t="s">
        <v>16</v>
      </c>
      <c r="C211" s="1851" t="s">
        <v>2450</v>
      </c>
      <c r="D211" s="1851" t="s">
        <v>2451</v>
      </c>
      <c r="E211" s="1851" t="s">
        <v>2452</v>
      </c>
      <c r="F211" s="1851" t="s">
        <v>2323</v>
      </c>
      <c r="G211" s="1851" t="s">
        <v>28</v>
      </c>
      <c r="H211" s="1851" t="s">
        <v>28</v>
      </c>
      <c r="I211" s="1851" t="s">
        <v>886</v>
      </c>
    </row>
    <row customHeight="1" ht="11.25">
      <c r="A212" s="1851" t="s">
        <v>2283</v>
      </c>
      <c r="B212" s="1851" t="s">
        <v>16</v>
      </c>
      <c r="C212" s="1851" t="s">
        <v>2453</v>
      </c>
      <c r="D212" s="1851" t="s">
        <v>2454</v>
      </c>
      <c r="E212" s="1851" t="s">
        <v>2455</v>
      </c>
      <c r="F212" s="1851" t="s">
        <v>2456</v>
      </c>
      <c r="G212" s="1851" t="s">
        <v>28</v>
      </c>
      <c r="H212" s="1851" t="s">
        <v>28</v>
      </c>
      <c r="I212" s="1851" t="s">
        <v>886</v>
      </c>
    </row>
    <row customHeight="1" ht="11.25">
      <c r="A213" s="1851" t="s">
        <v>2283</v>
      </c>
      <c r="B213" s="1851" t="s">
        <v>16</v>
      </c>
      <c r="C213" s="1851" t="s">
        <v>2810</v>
      </c>
      <c r="D213" s="1851" t="s">
        <v>2811</v>
      </c>
      <c r="E213" s="1851" t="s">
        <v>2812</v>
      </c>
      <c r="F213" s="1851" t="s">
        <v>2393</v>
      </c>
      <c r="G213" s="1851" t="s">
        <v>28</v>
      </c>
      <c r="H213" s="1851" t="s">
        <v>28</v>
      </c>
      <c r="I213" s="1851" t="s">
        <v>886</v>
      </c>
    </row>
    <row customHeight="1" ht="11.25">
      <c r="A214" s="1851" t="s">
        <v>2283</v>
      </c>
      <c r="B214" s="1851" t="s">
        <v>16</v>
      </c>
      <c r="C214" s="1851" t="s">
        <v>2813</v>
      </c>
      <c r="D214" s="1851" t="s">
        <v>2814</v>
      </c>
      <c r="E214" s="1851" t="s">
        <v>2815</v>
      </c>
      <c r="F214" s="1851" t="s">
        <v>2356</v>
      </c>
      <c r="G214" s="1851" t="s">
        <v>2816</v>
      </c>
      <c r="H214" s="1851" t="s">
        <v>28</v>
      </c>
      <c r="I214" s="1851" t="s">
        <v>886</v>
      </c>
    </row>
    <row customHeight="1" ht="11.25">
      <c r="A215" s="1851" t="s">
        <v>2283</v>
      </c>
      <c r="B215" s="1851" t="s">
        <v>16</v>
      </c>
      <c r="C215" s="1851" t="s">
        <v>2817</v>
      </c>
      <c r="D215" s="1851" t="s">
        <v>2818</v>
      </c>
      <c r="E215" s="1851" t="s">
        <v>2819</v>
      </c>
      <c r="F215" s="1851" t="s">
        <v>2414</v>
      </c>
      <c r="G215" s="1851" t="s">
        <v>2820</v>
      </c>
      <c r="H215" s="1851" t="s">
        <v>28</v>
      </c>
      <c r="I215" s="1851" t="s">
        <v>886</v>
      </c>
    </row>
    <row customHeight="1" ht="11.25">
      <c r="A216" s="1851" t="s">
        <v>2283</v>
      </c>
      <c r="B216" s="1851" t="s">
        <v>16</v>
      </c>
      <c r="C216" s="1851" t="s">
        <v>2457</v>
      </c>
      <c r="D216" s="1851" t="s">
        <v>2458</v>
      </c>
      <c r="E216" s="1851" t="s">
        <v>2459</v>
      </c>
      <c r="F216" s="1851" t="s">
        <v>2327</v>
      </c>
      <c r="G216" s="1851" t="s">
        <v>28</v>
      </c>
      <c r="H216" s="1851" t="s">
        <v>28</v>
      </c>
      <c r="I216" s="1851" t="s">
        <v>886</v>
      </c>
    </row>
    <row customHeight="1" ht="11.25">
      <c r="A217" s="1851" t="s">
        <v>2283</v>
      </c>
      <c r="B217" s="1851" t="s">
        <v>16</v>
      </c>
      <c r="C217" s="1851" t="s">
        <v>2821</v>
      </c>
      <c r="D217" s="1851" t="s">
        <v>2822</v>
      </c>
      <c r="E217" s="1851" t="s">
        <v>2823</v>
      </c>
      <c r="F217" s="1851" t="s">
        <v>2790</v>
      </c>
      <c r="G217" s="1851" t="s">
        <v>28</v>
      </c>
      <c r="H217" s="1851" t="s">
        <v>28</v>
      </c>
      <c r="I217" s="1851" t="s">
        <v>886</v>
      </c>
    </row>
    <row customHeight="1" ht="11.25">
      <c r="A218" s="1851" t="s">
        <v>2283</v>
      </c>
      <c r="B218" s="1851" t="s">
        <v>16</v>
      </c>
      <c r="C218" s="1851" t="s">
        <v>2460</v>
      </c>
      <c r="D218" s="1851" t="s">
        <v>2461</v>
      </c>
      <c r="E218" s="1851" t="s">
        <v>2462</v>
      </c>
      <c r="F218" s="1851" t="s">
        <v>2446</v>
      </c>
      <c r="G218" s="1851" t="s">
        <v>28</v>
      </c>
      <c r="H218" s="1851" t="s">
        <v>28</v>
      </c>
      <c r="I218" s="1851" t="s">
        <v>886</v>
      </c>
    </row>
    <row customHeight="1" ht="11.25">
      <c r="A219" s="1851" t="s">
        <v>2283</v>
      </c>
      <c r="B219" s="1851" t="s">
        <v>16</v>
      </c>
      <c r="C219" s="1851" t="s">
        <v>2824</v>
      </c>
      <c r="D219" s="1851" t="s">
        <v>2825</v>
      </c>
      <c r="E219" s="1851" t="s">
        <v>2826</v>
      </c>
      <c r="F219" s="1851" t="s">
        <v>2356</v>
      </c>
      <c r="G219" s="1851" t="s">
        <v>28</v>
      </c>
      <c r="H219" s="1851" t="s">
        <v>28</v>
      </c>
      <c r="I219" s="1851" t="s">
        <v>886</v>
      </c>
    </row>
    <row customHeight="1" ht="11.25">
      <c r="A220" s="1851" t="s">
        <v>2283</v>
      </c>
      <c r="B220" s="1851" t="s">
        <v>16</v>
      </c>
      <c r="C220" s="1851" t="s">
        <v>2827</v>
      </c>
      <c r="D220" s="1851" t="s">
        <v>2828</v>
      </c>
      <c r="E220" s="1851" t="s">
        <v>2829</v>
      </c>
      <c r="F220" s="1851" t="s">
        <v>2703</v>
      </c>
      <c r="G220" s="1851" t="s">
        <v>28</v>
      </c>
      <c r="H220" s="1851" t="s">
        <v>28</v>
      </c>
      <c r="I220" s="1851" t="s">
        <v>886</v>
      </c>
    </row>
    <row customHeight="1" ht="11.25">
      <c r="A221" s="1851" t="s">
        <v>2283</v>
      </c>
      <c r="B221" s="1851" t="s">
        <v>16</v>
      </c>
      <c r="C221" s="1851" t="s">
        <v>2830</v>
      </c>
      <c r="D221" s="1851" t="s">
        <v>2831</v>
      </c>
      <c r="E221" s="1851" t="s">
        <v>2832</v>
      </c>
      <c r="F221" s="1851" t="s">
        <v>2290</v>
      </c>
      <c r="G221" s="1851" t="s">
        <v>28</v>
      </c>
      <c r="H221" s="1851" t="s">
        <v>28</v>
      </c>
      <c r="I221" s="1851" t="s">
        <v>886</v>
      </c>
    </row>
    <row customHeight="1" ht="11.25">
      <c r="A222" s="1851" t="s">
        <v>2283</v>
      </c>
      <c r="B222" s="1851" t="s">
        <v>16</v>
      </c>
      <c r="C222" s="1851" t="s">
        <v>2463</v>
      </c>
      <c r="D222" s="1851" t="s">
        <v>2464</v>
      </c>
      <c r="E222" s="1851" t="s">
        <v>2465</v>
      </c>
      <c r="F222" s="1851" t="s">
        <v>2466</v>
      </c>
      <c r="G222" s="1851" t="s">
        <v>28</v>
      </c>
      <c r="H222" s="1851" t="s">
        <v>28</v>
      </c>
      <c r="I222" s="1851" t="s">
        <v>886</v>
      </c>
    </row>
    <row customHeight="1" ht="11.25">
      <c r="A223" s="1851" t="s">
        <v>2283</v>
      </c>
      <c r="B223" s="1851" t="s">
        <v>16</v>
      </c>
      <c r="C223" s="1851" t="s">
        <v>2833</v>
      </c>
      <c r="D223" s="1851" t="s">
        <v>2834</v>
      </c>
      <c r="E223" s="1851" t="s">
        <v>2835</v>
      </c>
      <c r="F223" s="1851" t="s">
        <v>2703</v>
      </c>
      <c r="G223" s="1851" t="s">
        <v>28</v>
      </c>
      <c r="H223" s="1851" t="s">
        <v>28</v>
      </c>
      <c r="I223" s="1851" t="s">
        <v>886</v>
      </c>
    </row>
    <row customHeight="1" ht="11.25">
      <c r="A224" s="1851" t="s">
        <v>2283</v>
      </c>
      <c r="B224" s="1851" t="s">
        <v>16</v>
      </c>
      <c r="C224" s="1851" t="s">
        <v>2467</v>
      </c>
      <c r="D224" s="1851" t="s">
        <v>2468</v>
      </c>
      <c r="E224" s="1851" t="s">
        <v>2469</v>
      </c>
      <c r="F224" s="1851" t="s">
        <v>54</v>
      </c>
      <c r="G224" s="1851" t="s">
        <v>28</v>
      </c>
      <c r="H224" s="1851" t="s">
        <v>28</v>
      </c>
      <c r="I224" s="1851" t="s">
        <v>886</v>
      </c>
    </row>
    <row customHeight="1" ht="11.25">
      <c r="A225" s="1851" t="s">
        <v>2283</v>
      </c>
      <c r="B225" s="1851" t="s">
        <v>16</v>
      </c>
      <c r="C225" s="1851" t="s">
        <v>2477</v>
      </c>
      <c r="D225" s="1851" t="s">
        <v>2478</v>
      </c>
      <c r="E225" s="1851" t="s">
        <v>2479</v>
      </c>
      <c r="F225" s="1851" t="s">
        <v>2480</v>
      </c>
      <c r="G225" s="1851" t="s">
        <v>28</v>
      </c>
      <c r="H225" s="1851" t="s">
        <v>28</v>
      </c>
      <c r="I225" s="1851" t="s">
        <v>886</v>
      </c>
    </row>
    <row customHeight="1" ht="11.25">
      <c r="A226" s="1851" t="s">
        <v>2283</v>
      </c>
      <c r="B226" s="1851" t="s">
        <v>16</v>
      </c>
      <c r="C226" s="1851" t="s">
        <v>2836</v>
      </c>
      <c r="D226" s="1851" t="s">
        <v>2837</v>
      </c>
      <c r="E226" s="1851" t="s">
        <v>2301</v>
      </c>
      <c r="F226" s="1851" t="s">
        <v>2838</v>
      </c>
      <c r="G226" s="1851" t="s">
        <v>28</v>
      </c>
      <c r="H226" s="1851" t="s">
        <v>28</v>
      </c>
      <c r="I226" s="1851" t="s">
        <v>886</v>
      </c>
    </row>
    <row customHeight="1" ht="11.25">
      <c r="A227" s="1851" t="s">
        <v>2283</v>
      </c>
      <c r="B227" s="1851" t="s">
        <v>16</v>
      </c>
      <c r="C227" s="1851" t="s">
        <v>2839</v>
      </c>
      <c r="D227" s="1851" t="s">
        <v>2840</v>
      </c>
      <c r="E227" s="1851" t="s">
        <v>2841</v>
      </c>
      <c r="F227" s="1851" t="s">
        <v>2290</v>
      </c>
      <c r="G227" s="1851" t="s">
        <v>28</v>
      </c>
      <c r="H227" s="1851" t="s">
        <v>28</v>
      </c>
      <c r="I227" s="1851" t="s">
        <v>886</v>
      </c>
    </row>
    <row customHeight="1" ht="11.25">
      <c r="A228" s="1851" t="s">
        <v>2283</v>
      </c>
      <c r="B228" s="1851" t="s">
        <v>16</v>
      </c>
      <c r="C228" s="1851" t="s">
        <v>2494</v>
      </c>
      <c r="D228" s="1851" t="s">
        <v>2495</v>
      </c>
      <c r="E228" s="1851" t="s">
        <v>2496</v>
      </c>
      <c r="F228" s="1851" t="s">
        <v>2323</v>
      </c>
      <c r="G228" s="1851" t="s">
        <v>28</v>
      </c>
      <c r="H228" s="1851" t="s">
        <v>28</v>
      </c>
      <c r="I228" s="1851" t="s">
        <v>886</v>
      </c>
    </row>
    <row customHeight="1" ht="11.25">
      <c r="A229" s="1851" t="s">
        <v>2283</v>
      </c>
      <c r="B229" s="1851" t="s">
        <v>16</v>
      </c>
      <c r="C229" s="1851" t="s">
        <v>2842</v>
      </c>
      <c r="D229" s="1851" t="s">
        <v>2843</v>
      </c>
      <c r="E229" s="1851" t="s">
        <v>2844</v>
      </c>
      <c r="F229" s="1851" t="s">
        <v>2327</v>
      </c>
      <c r="G229" s="1851" t="s">
        <v>2845</v>
      </c>
      <c r="H229" s="1851" t="s">
        <v>28</v>
      </c>
      <c r="I229" s="1851" t="s">
        <v>886</v>
      </c>
    </row>
    <row customHeight="1" ht="11.25">
      <c r="A230" s="1851" t="s">
        <v>2283</v>
      </c>
      <c r="B230" s="1851" t="s">
        <v>16</v>
      </c>
      <c r="C230" s="1851" t="s">
        <v>2846</v>
      </c>
      <c r="D230" s="1851" t="s">
        <v>2847</v>
      </c>
      <c r="E230" s="1851" t="s">
        <v>2848</v>
      </c>
      <c r="F230" s="1851" t="s">
        <v>2339</v>
      </c>
      <c r="G230" s="1851" t="s">
        <v>2849</v>
      </c>
      <c r="H230" s="1851" t="s">
        <v>28</v>
      </c>
      <c r="I230" s="1851" t="s">
        <v>886</v>
      </c>
    </row>
    <row customHeight="1" ht="11.25">
      <c r="A231" s="1851" t="s">
        <v>2283</v>
      </c>
      <c r="B231" s="1851" t="s">
        <v>16</v>
      </c>
      <c r="C231" s="1851" t="s">
        <v>2850</v>
      </c>
      <c r="D231" s="1851" t="s">
        <v>2851</v>
      </c>
      <c r="E231" s="1851" t="s">
        <v>2852</v>
      </c>
      <c r="F231" s="1851" t="s">
        <v>2600</v>
      </c>
      <c r="G231" s="1851" t="s">
        <v>2853</v>
      </c>
      <c r="H231" s="1851" t="s">
        <v>28</v>
      </c>
      <c r="I231" s="1851" t="s">
        <v>886</v>
      </c>
    </row>
    <row customHeight="1" ht="11.25">
      <c r="A232" s="1851" t="s">
        <v>2283</v>
      </c>
      <c r="B232" s="1851" t="s">
        <v>16</v>
      </c>
      <c r="C232" s="1851" t="s">
        <v>2854</v>
      </c>
      <c r="D232" s="1851" t="s">
        <v>2855</v>
      </c>
      <c r="E232" s="1851" t="s">
        <v>2856</v>
      </c>
      <c r="F232" s="1851" t="s">
        <v>2857</v>
      </c>
      <c r="G232" s="1851" t="s">
        <v>28</v>
      </c>
      <c r="H232" s="1851" t="s">
        <v>28</v>
      </c>
      <c r="I232" s="1851" t="s">
        <v>886</v>
      </c>
    </row>
    <row customHeight="1" ht="11.25">
      <c r="A233" s="1851" t="s">
        <v>2283</v>
      </c>
      <c r="B233" s="1851" t="s">
        <v>16</v>
      </c>
      <c r="C233" s="1851" t="s">
        <v>2858</v>
      </c>
      <c r="D233" s="1851" t="s">
        <v>2859</v>
      </c>
      <c r="E233" s="1851" t="s">
        <v>2860</v>
      </c>
      <c r="F233" s="1851" t="s">
        <v>2294</v>
      </c>
      <c r="G233" s="1851" t="s">
        <v>2861</v>
      </c>
      <c r="H233" s="1851" t="s">
        <v>28</v>
      </c>
      <c r="I233" s="1851" t="s">
        <v>886</v>
      </c>
    </row>
    <row customHeight="1" ht="11.25">
      <c r="A234" s="1851" t="s">
        <v>2283</v>
      </c>
      <c r="B234" s="1851" t="s">
        <v>16</v>
      </c>
      <c r="C234" s="1851" t="s">
        <v>2862</v>
      </c>
      <c r="D234" s="1851" t="s">
        <v>2863</v>
      </c>
      <c r="E234" s="1851" t="s">
        <v>2864</v>
      </c>
      <c r="F234" s="1851" t="s">
        <v>2315</v>
      </c>
      <c r="G234" s="1851" t="s">
        <v>28</v>
      </c>
      <c r="H234" s="1851" t="s">
        <v>28</v>
      </c>
      <c r="I234" s="1851" t="s">
        <v>886</v>
      </c>
    </row>
    <row customHeight="1" ht="11.25">
      <c r="A235" s="1851" t="s">
        <v>2283</v>
      </c>
      <c r="B235" s="1851" t="s">
        <v>16</v>
      </c>
      <c r="C235" s="1851" t="s">
        <v>2865</v>
      </c>
      <c r="D235" s="1851" t="s">
        <v>2866</v>
      </c>
      <c r="E235" s="1851" t="s">
        <v>2867</v>
      </c>
      <c r="F235" s="1851" t="s">
        <v>2868</v>
      </c>
      <c r="G235" s="1851" t="s">
        <v>28</v>
      </c>
      <c r="H235" s="1851" t="s">
        <v>28</v>
      </c>
      <c r="I235" s="1851" t="s">
        <v>886</v>
      </c>
    </row>
    <row customHeight="1" ht="11.25">
      <c r="A236" s="1851" t="s">
        <v>2283</v>
      </c>
      <c r="B236" s="1851" t="s">
        <v>16</v>
      </c>
      <c r="C236" s="1851" t="s">
        <v>2869</v>
      </c>
      <c r="D236" s="1851" t="s">
        <v>2870</v>
      </c>
      <c r="E236" s="1851" t="s">
        <v>2871</v>
      </c>
      <c r="F236" s="1851" t="s">
        <v>2677</v>
      </c>
      <c r="G236" s="1851" t="s">
        <v>28</v>
      </c>
      <c r="H236" s="1851" t="s">
        <v>28</v>
      </c>
      <c r="I236" s="1851" t="s">
        <v>886</v>
      </c>
    </row>
    <row customHeight="1" ht="11.25">
      <c r="A237" s="1851" t="s">
        <v>2283</v>
      </c>
      <c r="B237" s="1851" t="s">
        <v>16</v>
      </c>
      <c r="C237" s="1851" t="s">
        <v>2872</v>
      </c>
      <c r="D237" s="1851" t="s">
        <v>2873</v>
      </c>
      <c r="E237" s="1851" t="s">
        <v>2874</v>
      </c>
      <c r="F237" s="1851" t="s">
        <v>2703</v>
      </c>
      <c r="G237" s="1851" t="s">
        <v>2875</v>
      </c>
      <c r="H237" s="1851" t="s">
        <v>28</v>
      </c>
      <c r="I237" s="1851" t="s">
        <v>886</v>
      </c>
    </row>
    <row customHeight="1" ht="11.25">
      <c r="A238" s="1851" t="s">
        <v>2283</v>
      </c>
      <c r="B238" s="1851" t="s">
        <v>16</v>
      </c>
      <c r="C238" s="1851" t="s">
        <v>2509</v>
      </c>
      <c r="D238" s="1851" t="s">
        <v>2510</v>
      </c>
      <c r="E238" s="1851" t="s">
        <v>2511</v>
      </c>
      <c r="F238" s="1851" t="s">
        <v>2512</v>
      </c>
      <c r="G238" s="1851" t="s">
        <v>2513</v>
      </c>
      <c r="H238" s="1851" t="s">
        <v>28</v>
      </c>
      <c r="I238" s="1851" t="s">
        <v>886</v>
      </c>
    </row>
    <row customHeight="1" ht="11.25">
      <c r="A239" s="1851" t="s">
        <v>2283</v>
      </c>
      <c r="B239" s="1851" t="s">
        <v>16</v>
      </c>
      <c r="C239" s="1851" t="s">
        <v>2876</v>
      </c>
      <c r="D239" s="1851" t="s">
        <v>2877</v>
      </c>
      <c r="E239" s="1851" t="s">
        <v>2878</v>
      </c>
      <c r="F239" s="1851" t="s">
        <v>2327</v>
      </c>
      <c r="G239" s="1851" t="s">
        <v>28</v>
      </c>
      <c r="H239" s="1851" t="s">
        <v>28</v>
      </c>
      <c r="I239" s="1851" t="s">
        <v>886</v>
      </c>
    </row>
    <row customHeight="1" ht="11.25">
      <c r="A240" s="1851" t="s">
        <v>2283</v>
      </c>
      <c r="B240" s="1851" t="s">
        <v>16</v>
      </c>
      <c r="C240" s="1851" t="s">
        <v>2879</v>
      </c>
      <c r="D240" s="1851" t="s">
        <v>2880</v>
      </c>
      <c r="E240" s="1851" t="s">
        <v>2881</v>
      </c>
      <c r="F240" s="1851" t="s">
        <v>2512</v>
      </c>
      <c r="G240" s="1851" t="s">
        <v>28</v>
      </c>
      <c r="H240" s="1851" t="s">
        <v>28</v>
      </c>
      <c r="I240" s="1851" t="s">
        <v>886</v>
      </c>
    </row>
    <row customHeight="1" ht="11.25">
      <c r="A241" s="1851" t="s">
        <v>2283</v>
      </c>
      <c r="B241" s="1851" t="s">
        <v>16</v>
      </c>
      <c r="C241" s="1851" t="s">
        <v>2882</v>
      </c>
      <c r="D241" s="1851" t="s">
        <v>2883</v>
      </c>
      <c r="E241" s="1851" t="s">
        <v>2884</v>
      </c>
      <c r="F241" s="1851" t="s">
        <v>2286</v>
      </c>
      <c r="G241" s="1851" t="s">
        <v>28</v>
      </c>
      <c r="H241" s="1851" t="s">
        <v>28</v>
      </c>
      <c r="I241" s="1851" t="s">
        <v>886</v>
      </c>
    </row>
    <row customHeight="1" ht="11.25">
      <c r="A242" s="1851" t="s">
        <v>2283</v>
      </c>
      <c r="B242" s="1851" t="s">
        <v>16</v>
      </c>
      <c r="C242" s="1851" t="s">
        <v>2522</v>
      </c>
      <c r="D242" s="1851" t="s">
        <v>2523</v>
      </c>
      <c r="E242" s="1851" t="s">
        <v>2524</v>
      </c>
      <c r="F242" s="1851" t="s">
        <v>2525</v>
      </c>
      <c r="G242" s="1851" t="s">
        <v>28</v>
      </c>
      <c r="H242" s="1851" t="s">
        <v>28</v>
      </c>
      <c r="I242" s="1851" t="s">
        <v>886</v>
      </c>
    </row>
    <row customHeight="1" ht="11.25">
      <c r="A243" s="1851" t="s">
        <v>2283</v>
      </c>
      <c r="B243" s="1851" t="s">
        <v>16</v>
      </c>
      <c r="C243" s="1851" t="s">
        <v>2885</v>
      </c>
      <c r="D243" s="1851" t="s">
        <v>2886</v>
      </c>
      <c r="E243" s="1851" t="s">
        <v>2887</v>
      </c>
      <c r="F243" s="1851" t="s">
        <v>2290</v>
      </c>
      <c r="G243" s="1851" t="s">
        <v>28</v>
      </c>
      <c r="H243" s="1851" t="s">
        <v>28</v>
      </c>
      <c r="I243" s="1851" t="s">
        <v>886</v>
      </c>
    </row>
    <row customHeight="1" ht="11.25">
      <c r="A244" s="1851" t="s">
        <v>2283</v>
      </c>
      <c r="B244" s="1851" t="s">
        <v>16</v>
      </c>
      <c r="C244" s="1851" t="s">
        <v>2526</v>
      </c>
      <c r="D244" s="1851" t="s">
        <v>2527</v>
      </c>
      <c r="E244" s="1851" t="s">
        <v>2528</v>
      </c>
      <c r="F244" s="1851" t="s">
        <v>2512</v>
      </c>
      <c r="G244" s="1851" t="s">
        <v>28</v>
      </c>
      <c r="H244" s="1851" t="s">
        <v>28</v>
      </c>
      <c r="I244" s="1851" t="s">
        <v>886</v>
      </c>
    </row>
    <row customHeight="1" ht="11.25">
      <c r="A245" s="1851" t="s">
        <v>2283</v>
      </c>
      <c r="B245" s="1851" t="s">
        <v>16</v>
      </c>
      <c r="C245" s="1851" t="s">
        <v>2532</v>
      </c>
      <c r="D245" s="1851" t="s">
        <v>2533</v>
      </c>
      <c r="E245" s="1851" t="s">
        <v>2534</v>
      </c>
      <c r="F245" s="1851" t="s">
        <v>2512</v>
      </c>
      <c r="G245" s="1851" t="s">
        <v>28</v>
      </c>
      <c r="H245" s="1851" t="s">
        <v>28</v>
      </c>
      <c r="I245" s="1851" t="s">
        <v>886</v>
      </c>
    </row>
    <row customHeight="1" ht="11.25">
      <c r="A246" s="1851" t="s">
        <v>2283</v>
      </c>
      <c r="B246" s="1851" t="s">
        <v>16</v>
      </c>
      <c r="C246" s="1851" t="s">
        <v>2888</v>
      </c>
      <c r="D246" s="1851" t="s">
        <v>2889</v>
      </c>
      <c r="E246" s="1851" t="s">
        <v>2890</v>
      </c>
      <c r="F246" s="1851" t="s">
        <v>2512</v>
      </c>
      <c r="G246" s="1851" t="s">
        <v>28</v>
      </c>
      <c r="H246" s="1851" t="s">
        <v>28</v>
      </c>
      <c r="I246" s="1851" t="s">
        <v>886</v>
      </c>
    </row>
    <row customHeight="1" ht="11.25">
      <c r="A247" s="1851" t="s">
        <v>2283</v>
      </c>
      <c r="B247" s="1851" t="s">
        <v>16</v>
      </c>
      <c r="C247" s="1851" t="s">
        <v>2891</v>
      </c>
      <c r="D247" s="1851" t="s">
        <v>2892</v>
      </c>
      <c r="E247" s="1851" t="s">
        <v>2893</v>
      </c>
      <c r="F247" s="1851" t="s">
        <v>2466</v>
      </c>
      <c r="G247" s="1851" t="s">
        <v>2894</v>
      </c>
      <c r="H247" s="1851" t="s">
        <v>28</v>
      </c>
      <c r="I247" s="1851" t="s">
        <v>886</v>
      </c>
    </row>
    <row customHeight="1" ht="11.25">
      <c r="A248" s="1851" t="s">
        <v>2283</v>
      </c>
      <c r="B248" s="1851" t="s">
        <v>16</v>
      </c>
      <c r="C248" s="1851" t="s">
        <v>2895</v>
      </c>
      <c r="D248" s="1851" t="s">
        <v>2896</v>
      </c>
      <c r="E248" s="1851" t="s">
        <v>2897</v>
      </c>
      <c r="F248" s="1851" t="s">
        <v>2290</v>
      </c>
      <c r="G248" s="1851" t="s">
        <v>2898</v>
      </c>
      <c r="H248" s="1851" t="s">
        <v>28</v>
      </c>
      <c r="I248" s="1851" t="s">
        <v>886</v>
      </c>
    </row>
    <row customHeight="1" ht="11.25">
      <c r="A249" s="1851" t="s">
        <v>2283</v>
      </c>
      <c r="B249" s="1851" t="s">
        <v>16</v>
      </c>
      <c r="C249" s="1851" t="s">
        <v>2899</v>
      </c>
      <c r="D249" s="1851" t="s">
        <v>2900</v>
      </c>
      <c r="E249" s="1851" t="s">
        <v>2901</v>
      </c>
      <c r="F249" s="1851" t="s">
        <v>2422</v>
      </c>
      <c r="G249" s="1851" t="s">
        <v>28</v>
      </c>
      <c r="H249" s="1851" t="s">
        <v>28</v>
      </c>
      <c r="I249" s="1851" t="s">
        <v>886</v>
      </c>
    </row>
    <row customHeight="1" ht="11.25">
      <c r="A250" s="1851" t="s">
        <v>2283</v>
      </c>
      <c r="B250" s="1851" t="s">
        <v>16</v>
      </c>
      <c r="C250" s="1851" t="s">
        <v>2902</v>
      </c>
      <c r="D250" s="1851" t="s">
        <v>2903</v>
      </c>
      <c r="E250" s="1851" t="s">
        <v>2904</v>
      </c>
      <c r="F250" s="1851" t="s">
        <v>2703</v>
      </c>
      <c r="G250" s="1851" t="s">
        <v>2905</v>
      </c>
      <c r="H250" s="1851" t="s">
        <v>28</v>
      </c>
      <c r="I250" s="1851" t="s">
        <v>886</v>
      </c>
    </row>
    <row customHeight="1" ht="11.25">
      <c r="A251" s="1851" t="s">
        <v>2283</v>
      </c>
      <c r="B251" s="1851" t="s">
        <v>16</v>
      </c>
      <c r="C251" s="1851" t="s">
        <v>2906</v>
      </c>
      <c r="D251" s="1851" t="s">
        <v>2907</v>
      </c>
      <c r="E251" s="1851" t="s">
        <v>2908</v>
      </c>
      <c r="F251" s="1851" t="s">
        <v>2348</v>
      </c>
      <c r="G251" s="1851" t="s">
        <v>2909</v>
      </c>
      <c r="H251" s="1851" t="s">
        <v>28</v>
      </c>
      <c r="I251" s="1851" t="s">
        <v>886</v>
      </c>
    </row>
    <row customHeight="1" ht="11.25">
      <c r="A252" s="1851" t="s">
        <v>2283</v>
      </c>
      <c r="B252" s="1851" t="s">
        <v>16</v>
      </c>
      <c r="C252" s="1851" t="s">
        <v>2910</v>
      </c>
      <c r="D252" s="1851" t="s">
        <v>2911</v>
      </c>
      <c r="E252" s="1851" t="s">
        <v>2912</v>
      </c>
      <c r="F252" s="1851" t="s">
        <v>2600</v>
      </c>
      <c r="G252" s="1851" t="s">
        <v>2913</v>
      </c>
      <c r="H252" s="1851" t="s">
        <v>28</v>
      </c>
      <c r="I252" s="1851" t="s">
        <v>886</v>
      </c>
    </row>
    <row customHeight="1" ht="11.25">
      <c r="A253" s="1851" t="s">
        <v>2283</v>
      </c>
      <c r="B253" s="1851" t="s">
        <v>16</v>
      </c>
      <c r="C253" s="1851" t="s">
        <v>2544</v>
      </c>
      <c r="D253" s="1851" t="s">
        <v>2545</v>
      </c>
      <c r="E253" s="1851" t="s">
        <v>2546</v>
      </c>
      <c r="F253" s="1851" t="s">
        <v>2512</v>
      </c>
      <c r="G253" s="1851" t="s">
        <v>28</v>
      </c>
      <c r="H253" s="1851" t="s">
        <v>28</v>
      </c>
      <c r="I253" s="1851" t="s">
        <v>886</v>
      </c>
    </row>
    <row customHeight="1" ht="11.25">
      <c r="A254" s="1851" t="s">
        <v>2283</v>
      </c>
      <c r="B254" s="1851" t="s">
        <v>16</v>
      </c>
      <c r="C254" s="1851" t="s">
        <v>2914</v>
      </c>
      <c r="D254" s="1851" t="s">
        <v>2915</v>
      </c>
      <c r="E254" s="1851" t="s">
        <v>2916</v>
      </c>
      <c r="F254" s="1851" t="s">
        <v>2466</v>
      </c>
      <c r="G254" s="1851" t="s">
        <v>28</v>
      </c>
      <c r="H254" s="1851" t="s">
        <v>28</v>
      </c>
      <c r="I254" s="1851" t="s">
        <v>886</v>
      </c>
    </row>
    <row customHeight="1" ht="11.25">
      <c r="A255" s="1851" t="s">
        <v>2283</v>
      </c>
      <c r="B255" s="1851" t="s">
        <v>16</v>
      </c>
      <c r="C255" s="1851" t="s">
        <v>2557</v>
      </c>
      <c r="D255" s="1851" t="s">
        <v>2558</v>
      </c>
      <c r="E255" s="1851" t="s">
        <v>2559</v>
      </c>
      <c r="F255" s="1851" t="s">
        <v>2327</v>
      </c>
      <c r="G255" s="1851" t="s">
        <v>28</v>
      </c>
      <c r="H255" s="1851" t="s">
        <v>28</v>
      </c>
      <c r="I255" s="1851" t="s">
        <v>886</v>
      </c>
    </row>
    <row customHeight="1" ht="11.25">
      <c r="A256" s="1851" t="s">
        <v>2283</v>
      </c>
      <c r="B256" s="1851" t="s">
        <v>16</v>
      </c>
      <c r="C256" s="1851" t="s">
        <v>2560</v>
      </c>
      <c r="D256" s="1851" t="s">
        <v>2561</v>
      </c>
      <c r="E256" s="1851" t="s">
        <v>2562</v>
      </c>
      <c r="F256" s="1851" t="s">
        <v>2290</v>
      </c>
      <c r="G256" s="1851" t="s">
        <v>28</v>
      </c>
      <c r="H256" s="1851" t="s">
        <v>28</v>
      </c>
      <c r="I256" s="1851" t="s">
        <v>886</v>
      </c>
    </row>
    <row customHeight="1" ht="11.25">
      <c r="A257" s="1851" t="s">
        <v>2283</v>
      </c>
      <c r="B257" s="1851" t="s">
        <v>16</v>
      </c>
      <c r="C257" s="1851" t="s">
        <v>2575</v>
      </c>
      <c r="D257" s="1851" t="s">
        <v>2576</v>
      </c>
      <c r="E257" s="1851" t="s">
        <v>2577</v>
      </c>
      <c r="F257" s="1851" t="s">
        <v>2487</v>
      </c>
      <c r="G257" s="1851" t="s">
        <v>2578</v>
      </c>
      <c r="H257" s="1851" t="s">
        <v>28</v>
      </c>
      <c r="I257" s="1851" t="s">
        <v>886</v>
      </c>
    </row>
    <row customHeight="1" ht="11.25">
      <c r="A258" s="1851" t="s">
        <v>2283</v>
      </c>
      <c r="B258" s="1851" t="s">
        <v>16</v>
      </c>
      <c r="C258" s="1851" t="s">
        <v>2917</v>
      </c>
      <c r="D258" s="1851" t="s">
        <v>2918</v>
      </c>
      <c r="E258" s="1851" t="s">
        <v>2919</v>
      </c>
      <c r="F258" s="1851" t="s">
        <v>2473</v>
      </c>
      <c r="G258" s="1851" t="s">
        <v>28</v>
      </c>
      <c r="H258" s="1851" t="s">
        <v>28</v>
      </c>
      <c r="I258" s="1851" t="s">
        <v>886</v>
      </c>
    </row>
    <row customHeight="1" ht="11.25">
      <c r="A259" s="1851" t="s">
        <v>2283</v>
      </c>
      <c r="B259" s="1851" t="s">
        <v>16</v>
      </c>
      <c r="C259" s="1851" t="s">
        <v>2920</v>
      </c>
      <c r="D259" s="1851" t="s">
        <v>2921</v>
      </c>
      <c r="E259" s="1851" t="s">
        <v>2922</v>
      </c>
      <c r="F259" s="1851" t="s">
        <v>2422</v>
      </c>
      <c r="G259" s="1851" t="s">
        <v>28</v>
      </c>
      <c r="H259" s="1851" t="s">
        <v>28</v>
      </c>
      <c r="I259" s="1851" t="s">
        <v>886</v>
      </c>
    </row>
    <row customHeight="1" ht="11.25">
      <c r="A260" s="1851" t="s">
        <v>2283</v>
      </c>
      <c r="B260" s="1851" t="s">
        <v>16</v>
      </c>
      <c r="C260" s="1851" t="s">
        <v>2591</v>
      </c>
      <c r="D260" s="1851" t="s">
        <v>2592</v>
      </c>
      <c r="E260" s="1851" t="s">
        <v>2593</v>
      </c>
      <c r="F260" s="1851" t="s">
        <v>2290</v>
      </c>
      <c r="G260" s="1851" t="s">
        <v>28</v>
      </c>
      <c r="H260" s="1851" t="s">
        <v>28</v>
      </c>
      <c r="I260" s="1851" t="s">
        <v>886</v>
      </c>
    </row>
    <row customHeight="1" ht="11.25">
      <c r="A261" s="1851" t="s">
        <v>2283</v>
      </c>
      <c r="B261" s="1851" t="s">
        <v>16</v>
      </c>
      <c r="C261" s="1851" t="s">
        <v>2923</v>
      </c>
      <c r="D261" s="1851" t="s">
        <v>2924</v>
      </c>
      <c r="E261" s="1851" t="s">
        <v>2925</v>
      </c>
      <c r="F261" s="1851" t="s">
        <v>2926</v>
      </c>
      <c r="G261" s="1851" t="s">
        <v>28</v>
      </c>
      <c r="H261" s="1851" t="s">
        <v>28</v>
      </c>
      <c r="I261" s="1851" t="s">
        <v>886</v>
      </c>
    </row>
    <row customHeight="1" ht="11.25">
      <c r="A262" s="1851" t="s">
        <v>2283</v>
      </c>
      <c r="B262" s="1851" t="s">
        <v>16</v>
      </c>
      <c r="C262" s="1851" t="s">
        <v>2927</v>
      </c>
      <c r="D262" s="1851" t="s">
        <v>2928</v>
      </c>
      <c r="E262" s="1851" t="s">
        <v>2929</v>
      </c>
      <c r="F262" s="1851" t="s">
        <v>2487</v>
      </c>
      <c r="G262" s="1851" t="s">
        <v>28</v>
      </c>
      <c r="H262" s="1851" t="s">
        <v>28</v>
      </c>
      <c r="I262" s="1851" t="s">
        <v>886</v>
      </c>
    </row>
    <row customHeight="1" ht="11.25">
      <c r="A263" s="1851" t="s">
        <v>2283</v>
      </c>
      <c r="B263" s="1851" t="s">
        <v>16</v>
      </c>
      <c r="C263" s="1851" t="s">
        <v>2930</v>
      </c>
      <c r="D263" s="1851" t="s">
        <v>2931</v>
      </c>
      <c r="E263" s="1851" t="s">
        <v>2932</v>
      </c>
      <c r="F263" s="1851" t="s">
        <v>2315</v>
      </c>
      <c r="G263" s="1851" t="s">
        <v>28</v>
      </c>
      <c r="H263" s="1851" t="s">
        <v>28</v>
      </c>
      <c r="I263" s="1851" t="s">
        <v>886</v>
      </c>
    </row>
    <row customHeight="1" ht="11.25">
      <c r="A264" s="1851" t="s">
        <v>2283</v>
      </c>
      <c r="B264" s="1851" t="s">
        <v>16</v>
      </c>
      <c r="C264" s="1851" t="s">
        <v>2594</v>
      </c>
      <c r="D264" s="1851" t="s">
        <v>2595</v>
      </c>
      <c r="E264" s="1851" t="s">
        <v>2596</v>
      </c>
      <c r="F264" s="1851" t="s">
        <v>2466</v>
      </c>
      <c r="G264" s="1851" t="s">
        <v>2349</v>
      </c>
      <c r="H264" s="1851" t="s">
        <v>28</v>
      </c>
      <c r="I264" s="1851" t="s">
        <v>886</v>
      </c>
    </row>
    <row customHeight="1" ht="11.25">
      <c r="A265" s="1851" t="s">
        <v>2283</v>
      </c>
      <c r="B265" s="1851" t="s">
        <v>16</v>
      </c>
      <c r="C265" s="1851" t="s">
        <v>2933</v>
      </c>
      <c r="D265" s="1851" t="s">
        <v>2934</v>
      </c>
      <c r="E265" s="1851" t="s">
        <v>2935</v>
      </c>
      <c r="F265" s="1851" t="s">
        <v>2466</v>
      </c>
      <c r="G265" s="1851" t="s">
        <v>28</v>
      </c>
      <c r="H265" s="1851" t="s">
        <v>28</v>
      </c>
      <c r="I265" s="1851" t="s">
        <v>886</v>
      </c>
    </row>
    <row customHeight="1" ht="11.25">
      <c r="A266" s="1851" t="s">
        <v>2283</v>
      </c>
      <c r="B266" s="1851" t="s">
        <v>16</v>
      </c>
      <c r="C266" s="1851" t="s">
        <v>2604</v>
      </c>
      <c r="D266" s="1851" t="s">
        <v>2605</v>
      </c>
      <c r="E266" s="1851" t="s">
        <v>2606</v>
      </c>
      <c r="F266" s="1851" t="s">
        <v>2607</v>
      </c>
      <c r="G266" s="1851" t="s">
        <v>28</v>
      </c>
      <c r="H266" s="1851" t="s">
        <v>28</v>
      </c>
      <c r="I266" s="1851" t="s">
        <v>886</v>
      </c>
    </row>
    <row customHeight="1" ht="11.25">
      <c r="A267" s="1851" t="s">
        <v>2283</v>
      </c>
      <c r="B267" s="1851" t="s">
        <v>16</v>
      </c>
      <c r="C267" s="1851" t="s">
        <v>2936</v>
      </c>
      <c r="D267" s="1851" t="s">
        <v>2937</v>
      </c>
      <c r="E267" s="1851" t="s">
        <v>2938</v>
      </c>
      <c r="F267" s="1851" t="s">
        <v>2348</v>
      </c>
      <c r="G267" s="1851" t="s">
        <v>28</v>
      </c>
      <c r="H267" s="1851" t="s">
        <v>28</v>
      </c>
      <c r="I267" s="1851" t="s">
        <v>886</v>
      </c>
    </row>
    <row customHeight="1" ht="11.25">
      <c r="A268" s="1851" t="s">
        <v>2283</v>
      </c>
      <c r="B268" s="1851" t="s">
        <v>16</v>
      </c>
      <c r="C268" s="1851" t="s">
        <v>2618</v>
      </c>
      <c r="D268" s="1851" t="s">
        <v>2619</v>
      </c>
      <c r="E268" s="1851" t="s">
        <v>2620</v>
      </c>
      <c r="F268" s="1851" t="s">
        <v>2621</v>
      </c>
      <c r="G268" s="1851" t="s">
        <v>28</v>
      </c>
      <c r="H268" s="1851" t="s">
        <v>28</v>
      </c>
      <c r="I268" s="1851" t="s">
        <v>886</v>
      </c>
    </row>
    <row customHeight="1" ht="11.25">
      <c r="A269" s="1851" t="s">
        <v>2283</v>
      </c>
      <c r="B269" s="1851" t="s">
        <v>16</v>
      </c>
      <c r="C269" s="1851" t="s">
        <v>2939</v>
      </c>
      <c r="D269" s="1851" t="s">
        <v>2940</v>
      </c>
      <c r="E269" s="1851" t="s">
        <v>2941</v>
      </c>
      <c r="F269" s="1851" t="s">
        <v>2315</v>
      </c>
      <c r="G269" s="1851" t="s">
        <v>28</v>
      </c>
      <c r="H269" s="1851" t="s">
        <v>28</v>
      </c>
      <c r="I269" s="1851" t="s">
        <v>886</v>
      </c>
    </row>
    <row customHeight="1" ht="11.25">
      <c r="A270" s="1851" t="s">
        <v>2283</v>
      </c>
      <c r="B270" s="1851" t="s">
        <v>16</v>
      </c>
      <c r="C270" s="1851" t="s">
        <v>2942</v>
      </c>
      <c r="D270" s="1851" t="s">
        <v>2943</v>
      </c>
      <c r="E270" s="1851" t="s">
        <v>2944</v>
      </c>
      <c r="F270" s="1851" t="s">
        <v>2512</v>
      </c>
      <c r="G270" s="1851" t="s">
        <v>28</v>
      </c>
      <c r="H270" s="1851" t="s">
        <v>28</v>
      </c>
      <c r="I270" s="1851" t="s">
        <v>886</v>
      </c>
    </row>
    <row customHeight="1" ht="11.25">
      <c r="A271" s="1851" t="s">
        <v>2283</v>
      </c>
      <c r="B271" s="1851" t="s">
        <v>16</v>
      </c>
      <c r="C271" s="1851" t="s">
        <v>2945</v>
      </c>
      <c r="D271" s="1851" t="s">
        <v>2946</v>
      </c>
      <c r="E271" s="1851" t="s">
        <v>2947</v>
      </c>
      <c r="F271" s="1851" t="s">
        <v>2290</v>
      </c>
      <c r="G271" s="1851" t="s">
        <v>28</v>
      </c>
      <c r="H271" s="1851" t="s">
        <v>28</v>
      </c>
      <c r="I271" s="1851" t="s">
        <v>886</v>
      </c>
    </row>
    <row customHeight="1" ht="11.25">
      <c r="A272" s="1851" t="s">
        <v>2283</v>
      </c>
      <c r="B272" s="1851" t="s">
        <v>16</v>
      </c>
      <c r="C272" s="1851" t="s">
        <v>2948</v>
      </c>
      <c r="D272" s="1851" t="s">
        <v>2949</v>
      </c>
      <c r="E272" s="1851" t="s">
        <v>2950</v>
      </c>
      <c r="F272" s="1851" t="s">
        <v>2607</v>
      </c>
      <c r="G272" s="1851" t="s">
        <v>28</v>
      </c>
      <c r="H272" s="1851" t="s">
        <v>28</v>
      </c>
      <c r="I272" s="1851" t="s">
        <v>886</v>
      </c>
    </row>
    <row customHeight="1" ht="11.25">
      <c r="A273" s="1851" t="s">
        <v>2283</v>
      </c>
      <c r="B273" s="1851" t="s">
        <v>16</v>
      </c>
      <c r="C273" s="1851" t="s">
        <v>2951</v>
      </c>
      <c r="D273" s="1851" t="s">
        <v>2952</v>
      </c>
      <c r="E273" s="1851" t="s">
        <v>2953</v>
      </c>
      <c r="F273" s="1851" t="s">
        <v>2393</v>
      </c>
      <c r="G273" s="1851" t="s">
        <v>28</v>
      </c>
      <c r="H273" s="1851" t="s">
        <v>28</v>
      </c>
      <c r="I273" s="1851" t="s">
        <v>886</v>
      </c>
    </row>
    <row customHeight="1" ht="11.25">
      <c r="A274" s="1851" t="s">
        <v>2283</v>
      </c>
      <c r="B274" s="1851" t="s">
        <v>16</v>
      </c>
      <c r="C274" s="1851" t="s">
        <v>2954</v>
      </c>
      <c r="D274" s="1851" t="s">
        <v>2955</v>
      </c>
      <c r="E274" s="1851" t="s">
        <v>2956</v>
      </c>
      <c r="F274" s="1851" t="s">
        <v>2286</v>
      </c>
      <c r="G274" s="1851" t="s">
        <v>28</v>
      </c>
      <c r="H274" s="1851" t="s">
        <v>28</v>
      </c>
      <c r="I274" s="1851" t="s">
        <v>886</v>
      </c>
    </row>
    <row customHeight="1" ht="11.25">
      <c r="A275" s="1851" t="s">
        <v>2283</v>
      </c>
      <c r="B275" s="1851" t="s">
        <v>16</v>
      </c>
      <c r="C275" s="1851" t="s">
        <v>2957</v>
      </c>
      <c r="D275" s="1851" t="s">
        <v>2958</v>
      </c>
      <c r="E275" s="1851" t="s">
        <v>2959</v>
      </c>
      <c r="F275" s="1851" t="s">
        <v>2348</v>
      </c>
      <c r="G275" s="1851" t="s">
        <v>28</v>
      </c>
      <c r="H275" s="1851" t="s">
        <v>28</v>
      </c>
      <c r="I275" s="1851" t="s">
        <v>886</v>
      </c>
    </row>
    <row customHeight="1" ht="11.25">
      <c r="A276" s="1851" t="s">
        <v>2283</v>
      </c>
      <c r="B276" s="1851" t="s">
        <v>16</v>
      </c>
      <c r="C276" s="1851" t="s">
        <v>2960</v>
      </c>
      <c r="D276" s="1851" t="s">
        <v>2961</v>
      </c>
      <c r="E276" s="1851" t="s">
        <v>2962</v>
      </c>
      <c r="F276" s="1851" t="s">
        <v>2339</v>
      </c>
      <c r="G276" s="1851" t="s">
        <v>2963</v>
      </c>
      <c r="H276" s="1851" t="s">
        <v>28</v>
      </c>
      <c r="I276" s="1851" t="s">
        <v>886</v>
      </c>
    </row>
    <row customHeight="1" ht="11.25">
      <c r="A277" s="1851" t="s">
        <v>2283</v>
      </c>
      <c r="B277" s="1851" t="s">
        <v>16</v>
      </c>
      <c r="C277" s="1851" t="s">
        <v>2964</v>
      </c>
      <c r="D277" s="1851" t="s">
        <v>2965</v>
      </c>
      <c r="E277" s="1851" t="s">
        <v>2285</v>
      </c>
      <c r="F277" s="1851" t="s">
        <v>2286</v>
      </c>
      <c r="G277" s="1851" t="s">
        <v>28</v>
      </c>
      <c r="H277" s="1851" t="s">
        <v>28</v>
      </c>
      <c r="I277" s="1851" t="s">
        <v>886</v>
      </c>
    </row>
    <row customHeight="1" ht="11.25">
      <c r="A278" s="1851" t="s">
        <v>2283</v>
      </c>
      <c r="B278" s="1851" t="s">
        <v>16</v>
      </c>
      <c r="C278" s="1851" t="s">
        <v>2966</v>
      </c>
      <c r="D278" s="1851" t="s">
        <v>2967</v>
      </c>
      <c r="E278" s="1851" t="s">
        <v>2968</v>
      </c>
      <c r="F278" s="1851" t="s">
        <v>2290</v>
      </c>
      <c r="G278" s="1851" t="s">
        <v>28</v>
      </c>
      <c r="H278" s="1851" t="s">
        <v>28</v>
      </c>
      <c r="I278" s="1851" t="s">
        <v>886</v>
      </c>
    </row>
    <row customHeight="1" ht="11.25">
      <c r="A279" s="1851" t="s">
        <v>2283</v>
      </c>
      <c r="B279" s="1851" t="s">
        <v>16</v>
      </c>
      <c r="C279" s="1851" t="s">
        <v>2969</v>
      </c>
      <c r="D279" s="1851" t="s">
        <v>2970</v>
      </c>
      <c r="E279" s="1851" t="s">
        <v>2971</v>
      </c>
      <c r="F279" s="1851" t="s">
        <v>2290</v>
      </c>
      <c r="G279" s="1851" t="s">
        <v>28</v>
      </c>
      <c r="H279" s="1851" t="s">
        <v>28</v>
      </c>
      <c r="I279" s="1851" t="s">
        <v>886</v>
      </c>
    </row>
    <row customHeight="1" ht="11.25">
      <c r="A280" s="1851" t="s">
        <v>2283</v>
      </c>
      <c r="B280" s="1851" t="s">
        <v>16</v>
      </c>
      <c r="C280" s="1851" t="s">
        <v>2625</v>
      </c>
      <c r="D280" s="1851" t="s">
        <v>2626</v>
      </c>
      <c r="E280" s="1851" t="s">
        <v>2627</v>
      </c>
      <c r="F280" s="1851" t="s">
        <v>2298</v>
      </c>
      <c r="G280" s="1851" t="s">
        <v>28</v>
      </c>
      <c r="H280" s="1851" t="s">
        <v>28</v>
      </c>
      <c r="I280" s="1851" t="s">
        <v>886</v>
      </c>
    </row>
    <row customHeight="1" ht="11.25">
      <c r="A281" s="1851" t="s">
        <v>2283</v>
      </c>
      <c r="B281" s="1851" t="s">
        <v>16</v>
      </c>
      <c r="C281" s="1851" t="s">
        <v>2636</v>
      </c>
      <c r="D281" s="1851" t="s">
        <v>2637</v>
      </c>
      <c r="E281" s="1851" t="s">
        <v>2638</v>
      </c>
      <c r="F281" s="1851" t="s">
        <v>2607</v>
      </c>
      <c r="G281" s="1851" t="s">
        <v>2639</v>
      </c>
      <c r="H281" s="1851" t="s">
        <v>28</v>
      </c>
      <c r="I281" s="1851" t="s">
        <v>886</v>
      </c>
    </row>
    <row customHeight="1" ht="11.25">
      <c r="A282" s="1851" t="s">
        <v>2283</v>
      </c>
      <c r="B282" s="1851" t="s">
        <v>16</v>
      </c>
      <c r="C282" s="1851" t="s">
        <v>2640</v>
      </c>
      <c r="D282" s="1851" t="s">
        <v>2641</v>
      </c>
      <c r="E282" s="1851" t="s">
        <v>2642</v>
      </c>
      <c r="F282" s="1851" t="s">
        <v>2339</v>
      </c>
      <c r="G282" s="1851" t="s">
        <v>2643</v>
      </c>
      <c r="H282" s="1851" t="s">
        <v>28</v>
      </c>
      <c r="I282" s="1851" t="s">
        <v>886</v>
      </c>
    </row>
    <row customHeight="1" ht="11.25">
      <c r="A283" s="1851" t="s">
        <v>2283</v>
      </c>
      <c r="B283" s="1851" t="s">
        <v>16</v>
      </c>
      <c r="C283" s="1851" t="s">
        <v>2972</v>
      </c>
      <c r="D283" s="1851" t="s">
        <v>2973</v>
      </c>
      <c r="E283" s="1851" t="s">
        <v>2974</v>
      </c>
      <c r="F283" s="1851" t="s">
        <v>2393</v>
      </c>
      <c r="G283" s="1851" t="s">
        <v>28</v>
      </c>
      <c r="H283" s="1851" t="s">
        <v>28</v>
      </c>
      <c r="I283" s="1851" t="s">
        <v>886</v>
      </c>
    </row>
    <row customHeight="1" ht="11.25">
      <c r="A284" s="1851" t="s">
        <v>2283</v>
      </c>
      <c r="B284" s="1851" t="s">
        <v>16</v>
      </c>
      <c r="C284" s="1851" t="s">
        <v>2975</v>
      </c>
      <c r="D284" s="1851" t="s">
        <v>2976</v>
      </c>
      <c r="E284" s="1851" t="s">
        <v>2977</v>
      </c>
      <c r="F284" s="1851" t="s">
        <v>2512</v>
      </c>
      <c r="G284" s="1851" t="s">
        <v>28</v>
      </c>
      <c r="H284" s="1851" t="s">
        <v>28</v>
      </c>
      <c r="I284" s="1851" t="s">
        <v>886</v>
      </c>
    </row>
    <row customHeight="1" ht="11.25">
      <c r="A285" s="1851" t="s">
        <v>2283</v>
      </c>
      <c r="B285" s="1851" t="s">
        <v>16</v>
      </c>
      <c r="C285" s="1851" t="s">
        <v>2978</v>
      </c>
      <c r="D285" s="1851" t="s">
        <v>2979</v>
      </c>
      <c r="E285" s="1851" t="s">
        <v>2980</v>
      </c>
      <c r="F285" s="1851" t="s">
        <v>2981</v>
      </c>
      <c r="G285" s="1851" t="s">
        <v>28</v>
      </c>
      <c r="H285" s="1851" t="s">
        <v>28</v>
      </c>
      <c r="I285" s="1851" t="s">
        <v>886</v>
      </c>
    </row>
    <row customHeight="1" ht="11.25">
      <c r="A286" s="1851" t="s">
        <v>2283</v>
      </c>
      <c r="B286" s="1851" t="s">
        <v>16</v>
      </c>
      <c r="C286" s="1851" t="s">
        <v>2982</v>
      </c>
      <c r="D286" s="1851" t="s">
        <v>2983</v>
      </c>
      <c r="E286" s="1851" t="s">
        <v>2984</v>
      </c>
      <c r="F286" s="1851" t="s">
        <v>2422</v>
      </c>
      <c r="G286" s="1851" t="s">
        <v>28</v>
      </c>
      <c r="H286" s="1851" t="s">
        <v>28</v>
      </c>
      <c r="I286" s="1851" t="s">
        <v>886</v>
      </c>
    </row>
    <row customHeight="1" ht="11.25">
      <c r="A287" s="1851" t="s">
        <v>2283</v>
      </c>
      <c r="B287" s="1851" t="s">
        <v>16</v>
      </c>
      <c r="C287" s="1851" t="s">
        <v>2654</v>
      </c>
      <c r="D287" s="1851" t="s">
        <v>2655</v>
      </c>
      <c r="E287" s="1851" t="s">
        <v>2656</v>
      </c>
      <c r="F287" s="1851" t="s">
        <v>2487</v>
      </c>
      <c r="G287" s="1851" t="s">
        <v>28</v>
      </c>
      <c r="H287" s="1851" t="s">
        <v>28</v>
      </c>
      <c r="I287" s="1851" t="s">
        <v>886</v>
      </c>
    </row>
    <row customHeight="1" ht="11.25">
      <c r="A288" s="1851" t="s">
        <v>2283</v>
      </c>
      <c r="B288" s="1851" t="s">
        <v>16</v>
      </c>
      <c r="C288" s="1851" t="s">
        <v>2657</v>
      </c>
      <c r="D288" s="1851" t="s">
        <v>2658</v>
      </c>
      <c r="E288" s="1851" t="s">
        <v>2659</v>
      </c>
      <c r="F288" s="1851" t="s">
        <v>2660</v>
      </c>
      <c r="G288" s="1851" t="s">
        <v>2661</v>
      </c>
      <c r="H288" s="1851" t="s">
        <v>28</v>
      </c>
      <c r="I288" s="1851" t="s">
        <v>886</v>
      </c>
    </row>
    <row customHeight="1" ht="11.25">
      <c r="A289" s="1851" t="s">
        <v>2283</v>
      </c>
      <c r="B289" s="1851" t="s">
        <v>16</v>
      </c>
      <c r="C289" s="1851" t="s">
        <v>2662</v>
      </c>
      <c r="D289" s="1851" t="s">
        <v>2663</v>
      </c>
      <c r="E289" s="1851" t="s">
        <v>2664</v>
      </c>
      <c r="F289" s="1851" t="s">
        <v>2487</v>
      </c>
      <c r="G289" s="1851" t="s">
        <v>28</v>
      </c>
      <c r="H289" s="1851" t="s">
        <v>28</v>
      </c>
      <c r="I289" s="1851" t="s">
        <v>886</v>
      </c>
    </row>
    <row customHeight="1" ht="11.25">
      <c r="A290" s="1851" t="s">
        <v>2283</v>
      </c>
      <c r="B290" s="1851" t="s">
        <v>16</v>
      </c>
      <c r="C290" s="1851" t="s">
        <v>2668</v>
      </c>
      <c r="D290" s="1851" t="s">
        <v>2669</v>
      </c>
      <c r="E290" s="1851" t="s">
        <v>2670</v>
      </c>
      <c r="F290" s="1851" t="s">
        <v>2422</v>
      </c>
      <c r="G290" s="1851" t="s">
        <v>28</v>
      </c>
      <c r="H290" s="1851" t="s">
        <v>28</v>
      </c>
      <c r="I290" s="1851" t="s">
        <v>886</v>
      </c>
    </row>
    <row customHeight="1" ht="11.25">
      <c r="A291" s="1851" t="s">
        <v>2283</v>
      </c>
      <c r="B291" s="1851" t="s">
        <v>16</v>
      </c>
      <c r="C291" s="1851" t="s">
        <v>2985</v>
      </c>
      <c r="D291" s="1851" t="s">
        <v>2986</v>
      </c>
      <c r="E291" s="1851" t="s">
        <v>2987</v>
      </c>
      <c r="F291" s="1851" t="s">
        <v>2801</v>
      </c>
      <c r="G291" s="1851" t="s">
        <v>28</v>
      </c>
      <c r="H291" s="1851" t="s">
        <v>28</v>
      </c>
      <c r="I291" s="1851" t="s">
        <v>886</v>
      </c>
    </row>
    <row customHeight="1" ht="11.25">
      <c r="A292" s="1851" t="s">
        <v>2283</v>
      </c>
      <c r="B292" s="1851" t="s">
        <v>16</v>
      </c>
      <c r="C292" s="1851" t="s">
        <v>2988</v>
      </c>
      <c r="D292" s="1851" t="s">
        <v>2989</v>
      </c>
      <c r="E292" s="1851" t="s">
        <v>2990</v>
      </c>
      <c r="F292" s="1851" t="s">
        <v>2801</v>
      </c>
      <c r="G292" s="1851" t="s">
        <v>28</v>
      </c>
      <c r="H292" s="1851" t="s">
        <v>28</v>
      </c>
      <c r="I292" s="1851" t="s">
        <v>886</v>
      </c>
    </row>
    <row customHeight="1" ht="11.25">
      <c r="A293" s="1851" t="s">
        <v>2283</v>
      </c>
      <c r="B293" s="1851" t="s">
        <v>16</v>
      </c>
      <c r="C293" s="1851" t="s">
        <v>2991</v>
      </c>
      <c r="D293" s="1851" t="s">
        <v>2992</v>
      </c>
      <c r="E293" s="1851" t="s">
        <v>2993</v>
      </c>
      <c r="F293" s="1851" t="s">
        <v>2315</v>
      </c>
      <c r="G293" s="1851" t="s">
        <v>28</v>
      </c>
      <c r="H293" s="1851" t="s">
        <v>28</v>
      </c>
      <c r="I293" s="1851" t="s">
        <v>886</v>
      </c>
    </row>
    <row customHeight="1" ht="11.25">
      <c r="A294" s="1851" t="s">
        <v>2283</v>
      </c>
      <c r="B294" s="1851" t="s">
        <v>16</v>
      </c>
      <c r="C294" s="1851" t="s">
        <v>2994</v>
      </c>
      <c r="D294" s="1851" t="s">
        <v>2995</v>
      </c>
      <c r="E294" s="1851" t="s">
        <v>2996</v>
      </c>
      <c r="F294" s="1851" t="s">
        <v>2677</v>
      </c>
      <c r="G294" s="1851" t="s">
        <v>28</v>
      </c>
      <c r="H294" s="1851" t="s">
        <v>28</v>
      </c>
      <c r="I294" s="1851" t="s">
        <v>886</v>
      </c>
    </row>
    <row customHeight="1" ht="11.25">
      <c r="A295" s="1851" t="s">
        <v>2283</v>
      </c>
      <c r="B295" s="1851" t="s">
        <v>16</v>
      </c>
      <c r="C295" s="1851" t="s">
        <v>2997</v>
      </c>
      <c r="D295" s="1851" t="s">
        <v>2998</v>
      </c>
      <c r="E295" s="1851" t="s">
        <v>2999</v>
      </c>
      <c r="F295" s="1851" t="s">
        <v>2473</v>
      </c>
      <c r="G295" s="1851" t="s">
        <v>28</v>
      </c>
      <c r="H295" s="1851" t="s">
        <v>28</v>
      </c>
      <c r="I295" s="1851" t="s">
        <v>886</v>
      </c>
    </row>
    <row customHeight="1" ht="11.25">
      <c r="A296" s="1851" t="s">
        <v>2283</v>
      </c>
      <c r="B296" s="1851" t="s">
        <v>16</v>
      </c>
      <c r="C296" s="1851" t="s">
        <v>2674</v>
      </c>
      <c r="D296" s="1851" t="s">
        <v>2675</v>
      </c>
      <c r="E296" s="1851" t="s">
        <v>2676</v>
      </c>
      <c r="F296" s="1851" t="s">
        <v>2677</v>
      </c>
      <c r="G296" s="1851" t="s">
        <v>28</v>
      </c>
      <c r="H296" s="1851" t="s">
        <v>28</v>
      </c>
      <c r="I296" s="1851" t="s">
        <v>886</v>
      </c>
    </row>
    <row customHeight="1" ht="11.25">
      <c r="A297" s="1851" t="s">
        <v>2283</v>
      </c>
      <c r="B297" s="1851" t="s">
        <v>16</v>
      </c>
      <c r="C297" s="1851" t="s">
        <v>3000</v>
      </c>
      <c r="D297" s="1851" t="s">
        <v>3001</v>
      </c>
      <c r="E297" s="1851" t="s">
        <v>3002</v>
      </c>
      <c r="F297" s="1851" t="s">
        <v>2422</v>
      </c>
      <c r="G297" s="1851" t="s">
        <v>28</v>
      </c>
      <c r="H297" s="1851" t="s">
        <v>28</v>
      </c>
      <c r="I297" s="1851" t="s">
        <v>886</v>
      </c>
    </row>
    <row customHeight="1" ht="11.25">
      <c r="A298" s="1851" t="s">
        <v>2283</v>
      </c>
      <c r="B298" s="1851" t="s">
        <v>16</v>
      </c>
      <c r="C298" s="1851" t="s">
        <v>3003</v>
      </c>
      <c r="D298" s="1851" t="s">
        <v>3004</v>
      </c>
      <c r="E298" s="1851" t="s">
        <v>3005</v>
      </c>
      <c r="F298" s="1851" t="s">
        <v>2857</v>
      </c>
      <c r="G298" s="1851" t="s">
        <v>3006</v>
      </c>
      <c r="H298" s="1851" t="s">
        <v>28</v>
      </c>
      <c r="I298" s="1851" t="s">
        <v>886</v>
      </c>
    </row>
    <row customHeight="1" ht="11.25">
      <c r="A299" s="1851" t="s">
        <v>2283</v>
      </c>
      <c r="B299" s="1851" t="s">
        <v>16</v>
      </c>
      <c r="C299" s="1851" t="s">
        <v>3007</v>
      </c>
      <c r="D299" s="1851" t="s">
        <v>3008</v>
      </c>
      <c r="E299" s="1851" t="s">
        <v>3009</v>
      </c>
      <c r="F299" s="1851" t="s">
        <v>2393</v>
      </c>
      <c r="G299" s="1851" t="s">
        <v>28</v>
      </c>
      <c r="H299" s="1851" t="s">
        <v>28</v>
      </c>
      <c r="I299" s="1851" t="s">
        <v>886</v>
      </c>
    </row>
    <row customHeight="1" ht="11.25">
      <c r="A300" s="1851" t="s">
        <v>2283</v>
      </c>
      <c r="B300" s="1851" t="s">
        <v>16</v>
      </c>
      <c r="C300" s="1851" t="s">
        <v>3010</v>
      </c>
      <c r="D300" s="1851" t="s">
        <v>3011</v>
      </c>
      <c r="E300" s="1851" t="s">
        <v>3012</v>
      </c>
      <c r="F300" s="1851" t="s">
        <v>2414</v>
      </c>
      <c r="G300" s="1851" t="s">
        <v>28</v>
      </c>
      <c r="H300" s="1851" t="s">
        <v>28</v>
      </c>
      <c r="I300" s="1851" t="s">
        <v>886</v>
      </c>
    </row>
    <row customHeight="1" ht="11.25">
      <c r="A301" s="1851" t="s">
        <v>2283</v>
      </c>
      <c r="B301" s="1851" t="s">
        <v>16</v>
      </c>
      <c r="C301" s="1851" t="s">
        <v>3013</v>
      </c>
      <c r="D301" s="1851" t="s">
        <v>3014</v>
      </c>
      <c r="E301" s="1851" t="s">
        <v>3015</v>
      </c>
      <c r="F301" s="1851" t="s">
        <v>2290</v>
      </c>
      <c r="G301" s="1851" t="s">
        <v>28</v>
      </c>
      <c r="H301" s="1851" t="s">
        <v>28</v>
      </c>
      <c r="I301" s="1851" t="s">
        <v>886</v>
      </c>
    </row>
    <row customHeight="1" ht="11.25">
      <c r="A302" s="1851" t="s">
        <v>2283</v>
      </c>
      <c r="B302" s="1851" t="s">
        <v>16</v>
      </c>
      <c r="C302" s="1851" t="s">
        <v>3016</v>
      </c>
      <c r="D302" s="1851" t="s">
        <v>3017</v>
      </c>
      <c r="E302" s="1851" t="s">
        <v>3018</v>
      </c>
      <c r="F302" s="1851" t="s">
        <v>2446</v>
      </c>
      <c r="G302" s="1851" t="s">
        <v>28</v>
      </c>
      <c r="H302" s="1851" t="s">
        <v>28</v>
      </c>
      <c r="I302" s="1851" t="s">
        <v>886</v>
      </c>
    </row>
    <row customHeight="1" ht="11.25">
      <c r="A303" s="1851" t="s">
        <v>2283</v>
      </c>
      <c r="B303" s="1851" t="s">
        <v>16</v>
      </c>
      <c r="C303" s="1851" t="s">
        <v>3019</v>
      </c>
      <c r="D303" s="1851" t="s">
        <v>3020</v>
      </c>
      <c r="E303" s="1851" t="s">
        <v>3021</v>
      </c>
      <c r="F303" s="1851" t="s">
        <v>2801</v>
      </c>
      <c r="G303" s="1851" t="s">
        <v>3022</v>
      </c>
      <c r="H303" s="1851" t="s">
        <v>28</v>
      </c>
      <c r="I303" s="1851" t="s">
        <v>886</v>
      </c>
    </row>
    <row customHeight="1" ht="11.25">
      <c r="A304" s="1851" t="s">
        <v>2283</v>
      </c>
      <c r="B304" s="1851" t="s">
        <v>16</v>
      </c>
      <c r="C304" s="1851" t="s">
        <v>3023</v>
      </c>
      <c r="D304" s="1851" t="s">
        <v>3024</v>
      </c>
      <c r="E304" s="1851" t="s">
        <v>3025</v>
      </c>
      <c r="F304" s="1851" t="s">
        <v>2348</v>
      </c>
      <c r="G304" s="1851" t="s">
        <v>28</v>
      </c>
      <c r="H304" s="1851" t="s">
        <v>28</v>
      </c>
      <c r="I304" s="1851" t="s">
        <v>886</v>
      </c>
    </row>
    <row customHeight="1" ht="11.25">
      <c r="A305" s="1851" t="s">
        <v>2283</v>
      </c>
      <c r="B305" s="1851" t="s">
        <v>16</v>
      </c>
      <c r="C305" s="1851" t="s">
        <v>2704</v>
      </c>
      <c r="D305" s="1851" t="s">
        <v>2705</v>
      </c>
      <c r="E305" s="1851" t="s">
        <v>2706</v>
      </c>
      <c r="F305" s="1851" t="s">
        <v>2315</v>
      </c>
      <c r="G305" s="1851" t="s">
        <v>28</v>
      </c>
      <c r="H305" s="1851" t="s">
        <v>28</v>
      </c>
      <c r="I305" s="1851" t="s">
        <v>886</v>
      </c>
    </row>
    <row customHeight="1" ht="11.25">
      <c r="A306" s="1851" t="s">
        <v>2283</v>
      </c>
      <c r="B306" s="1851" t="s">
        <v>16</v>
      </c>
      <c r="C306" s="1851" t="s">
        <v>28</v>
      </c>
      <c r="D306" s="1851" t="s">
        <v>2284</v>
      </c>
      <c r="E306" s="1851" t="s">
        <v>2285</v>
      </c>
      <c r="F306" s="1851" t="s">
        <v>2286</v>
      </c>
      <c r="G306" s="1851" t="s">
        <v>28</v>
      </c>
      <c r="H306" s="1851" t="s">
        <v>28</v>
      </c>
      <c r="I306" s="1851" t="s">
        <v>939</v>
      </c>
    </row>
    <row customHeight="1" ht="11.25">
      <c r="A307" s="1851" t="s">
        <v>2283</v>
      </c>
      <c r="B307" s="1851" t="s">
        <v>16</v>
      </c>
      <c r="C307" s="1851" t="s">
        <v>2287</v>
      </c>
      <c r="D307" s="1851" t="s">
        <v>2288</v>
      </c>
      <c r="E307" s="1851" t="s">
        <v>2289</v>
      </c>
      <c r="F307" s="1851" t="s">
        <v>2290</v>
      </c>
      <c r="G307" s="1851" t="s">
        <v>28</v>
      </c>
      <c r="H307" s="1851" t="s">
        <v>28</v>
      </c>
      <c r="I307" s="1851" t="s">
        <v>939</v>
      </c>
    </row>
    <row customHeight="1" ht="11.25">
      <c r="A308" s="1851" t="s">
        <v>2283</v>
      </c>
      <c r="B308" s="1851" t="s">
        <v>16</v>
      </c>
      <c r="C308" s="1851" t="s">
        <v>2295</v>
      </c>
      <c r="D308" s="1851" t="s">
        <v>2296</v>
      </c>
      <c r="E308" s="1851" t="s">
        <v>2297</v>
      </c>
      <c r="F308" s="1851" t="s">
        <v>2298</v>
      </c>
      <c r="G308" s="1851" t="s">
        <v>28</v>
      </c>
      <c r="H308" s="1851" t="s">
        <v>28</v>
      </c>
      <c r="I308" s="1851" t="s">
        <v>939</v>
      </c>
    </row>
    <row customHeight="1" ht="11.25">
      <c r="A309" s="1851" t="s">
        <v>2283</v>
      </c>
      <c r="B309" s="1851" t="s">
        <v>16</v>
      </c>
      <c r="C309" s="1851" t="s">
        <v>2303</v>
      </c>
      <c r="D309" s="1851" t="s">
        <v>2300</v>
      </c>
      <c r="E309" s="1851" t="s">
        <v>2301</v>
      </c>
      <c r="F309" s="1851" t="s">
        <v>2304</v>
      </c>
      <c r="G309" s="1851" t="s">
        <v>2305</v>
      </c>
      <c r="H309" s="1851" t="s">
        <v>28</v>
      </c>
      <c r="I309" s="1851" t="s">
        <v>939</v>
      </c>
    </row>
    <row customHeight="1" ht="11.25">
      <c r="A310" s="1851" t="s">
        <v>2283</v>
      </c>
      <c r="B310" s="1851" t="s">
        <v>16</v>
      </c>
      <c r="C310" s="1851" t="s">
        <v>2312</v>
      </c>
      <c r="D310" s="1851" t="s">
        <v>2313</v>
      </c>
      <c r="E310" s="1851" t="s">
        <v>2314</v>
      </c>
      <c r="F310" s="1851" t="s">
        <v>2315</v>
      </c>
      <c r="G310" s="1851" t="s">
        <v>28</v>
      </c>
      <c r="H310" s="1851" t="s">
        <v>28</v>
      </c>
      <c r="I310" s="1851" t="s">
        <v>939</v>
      </c>
    </row>
    <row customHeight="1" ht="11.25">
      <c r="A311" s="1851" t="s">
        <v>2283</v>
      </c>
      <c r="B311" s="1851" t="s">
        <v>16</v>
      </c>
      <c r="C311" s="1851" t="s">
        <v>2324</v>
      </c>
      <c r="D311" s="1851" t="s">
        <v>2325</v>
      </c>
      <c r="E311" s="1851" t="s">
        <v>2326</v>
      </c>
      <c r="F311" s="1851" t="s">
        <v>2327</v>
      </c>
      <c r="G311" s="1851" t="s">
        <v>28</v>
      </c>
      <c r="H311" s="1851" t="s">
        <v>28</v>
      </c>
      <c r="I311" s="1851" t="s">
        <v>939</v>
      </c>
    </row>
    <row customHeight="1" ht="11.25">
      <c r="A312" s="1851" t="s">
        <v>2283</v>
      </c>
      <c r="B312" s="1851" t="s">
        <v>16</v>
      </c>
      <c r="C312" s="1851" t="s">
        <v>2729</v>
      </c>
      <c r="D312" s="1851" t="s">
        <v>2730</v>
      </c>
      <c r="E312" s="1851" t="s">
        <v>2731</v>
      </c>
      <c r="F312" s="1851" t="s">
        <v>2525</v>
      </c>
      <c r="G312" s="1851" t="s">
        <v>2732</v>
      </c>
      <c r="H312" s="1851" t="s">
        <v>28</v>
      </c>
      <c r="I312" s="1851" t="s">
        <v>939</v>
      </c>
    </row>
    <row customHeight="1" ht="11.25">
      <c r="A313" s="1851" t="s">
        <v>2283</v>
      </c>
      <c r="B313" s="1851" t="s">
        <v>16</v>
      </c>
      <c r="C313" s="1851" t="s">
        <v>3026</v>
      </c>
      <c r="D313" s="1851" t="s">
        <v>3027</v>
      </c>
      <c r="E313" s="1851" t="s">
        <v>3028</v>
      </c>
      <c r="F313" s="1851" t="s">
        <v>2286</v>
      </c>
      <c r="G313" s="1851" t="s">
        <v>28</v>
      </c>
      <c r="H313" s="1851" t="s">
        <v>28</v>
      </c>
      <c r="I313" s="1851" t="s">
        <v>939</v>
      </c>
    </row>
    <row customHeight="1" ht="11.25">
      <c r="A314" s="1851" t="s">
        <v>2283</v>
      </c>
      <c r="B314" s="1851" t="s">
        <v>16</v>
      </c>
      <c r="C314" s="1851" t="s">
        <v>2333</v>
      </c>
      <c r="D314" s="1851" t="s">
        <v>2334</v>
      </c>
      <c r="E314" s="1851" t="s">
        <v>2335</v>
      </c>
      <c r="F314" s="1851" t="s">
        <v>2294</v>
      </c>
      <c r="G314" s="1851" t="s">
        <v>28</v>
      </c>
      <c r="H314" s="1851" t="s">
        <v>28</v>
      </c>
      <c r="I314" s="1851" t="s">
        <v>939</v>
      </c>
    </row>
    <row customHeight="1" ht="11.25">
      <c r="A315" s="1851" t="s">
        <v>2283</v>
      </c>
      <c r="B315" s="1851" t="s">
        <v>16</v>
      </c>
      <c r="C315" s="1851" t="s">
        <v>2336</v>
      </c>
      <c r="D315" s="1851" t="s">
        <v>2337</v>
      </c>
      <c r="E315" s="1851" t="s">
        <v>2338</v>
      </c>
      <c r="F315" s="1851" t="s">
        <v>2339</v>
      </c>
      <c r="G315" s="1851" t="s">
        <v>28</v>
      </c>
      <c r="H315" s="1851" t="s">
        <v>28</v>
      </c>
      <c r="I315" s="1851" t="s">
        <v>939</v>
      </c>
    </row>
    <row customHeight="1" ht="11.25">
      <c r="A316" s="1851" t="s">
        <v>2283</v>
      </c>
      <c r="B316" s="1851" t="s">
        <v>16</v>
      </c>
      <c r="C316" s="1851" t="s">
        <v>3029</v>
      </c>
      <c r="D316" s="1851" t="s">
        <v>3030</v>
      </c>
      <c r="E316" s="1851" t="s">
        <v>3031</v>
      </c>
      <c r="F316" s="1851" t="s">
        <v>2290</v>
      </c>
      <c r="G316" s="1851" t="s">
        <v>3032</v>
      </c>
      <c r="H316" s="1851" t="s">
        <v>28</v>
      </c>
      <c r="I316" s="1851" t="s">
        <v>939</v>
      </c>
    </row>
    <row customHeight="1" ht="11.25">
      <c r="A317" s="1851" t="s">
        <v>2283</v>
      </c>
      <c r="B317" s="1851" t="s">
        <v>16</v>
      </c>
      <c r="C317" s="1851" t="s">
        <v>2733</v>
      </c>
      <c r="D317" s="1851" t="s">
        <v>2734</v>
      </c>
      <c r="E317" s="1851" t="s">
        <v>2735</v>
      </c>
      <c r="F317" s="1851" t="s">
        <v>2315</v>
      </c>
      <c r="G317" s="1851" t="s">
        <v>2736</v>
      </c>
      <c r="H317" s="1851" t="s">
        <v>28</v>
      </c>
      <c r="I317" s="1851" t="s">
        <v>939</v>
      </c>
    </row>
    <row customHeight="1" ht="11.25">
      <c r="A318" s="1851" t="s">
        <v>2283</v>
      </c>
      <c r="B318" s="1851" t="s">
        <v>16</v>
      </c>
      <c r="C318" s="1851" t="s">
        <v>2737</v>
      </c>
      <c r="D318" s="1851" t="s">
        <v>2738</v>
      </c>
      <c r="E318" s="1851" t="s">
        <v>2739</v>
      </c>
      <c r="F318" s="1851" t="s">
        <v>2294</v>
      </c>
      <c r="G318" s="1851" t="s">
        <v>28</v>
      </c>
      <c r="H318" s="1851" t="s">
        <v>28</v>
      </c>
      <c r="I318" s="1851" t="s">
        <v>939</v>
      </c>
    </row>
    <row customHeight="1" ht="11.25">
      <c r="A319" s="1851" t="s">
        <v>2283</v>
      </c>
      <c r="B319" s="1851" t="s">
        <v>16</v>
      </c>
      <c r="C319" s="1851" t="s">
        <v>2353</v>
      </c>
      <c r="D319" s="1851" t="s">
        <v>2354</v>
      </c>
      <c r="E319" s="1851" t="s">
        <v>2355</v>
      </c>
      <c r="F319" s="1851" t="s">
        <v>2356</v>
      </c>
      <c r="G319" s="1851" t="s">
        <v>28</v>
      </c>
      <c r="H319" s="1851" t="s">
        <v>28</v>
      </c>
      <c r="I319" s="1851" t="s">
        <v>939</v>
      </c>
    </row>
    <row customHeight="1" ht="11.25">
      <c r="A320" s="1851" t="s">
        <v>2283</v>
      </c>
      <c r="B320" s="1851" t="s">
        <v>16</v>
      </c>
      <c r="C320" s="1851" t="s">
        <v>2740</v>
      </c>
      <c r="D320" s="1851" t="s">
        <v>2741</v>
      </c>
      <c r="E320" s="1851" t="s">
        <v>2742</v>
      </c>
      <c r="F320" s="1851" t="s">
        <v>2703</v>
      </c>
      <c r="G320" s="1851" t="s">
        <v>2743</v>
      </c>
      <c r="H320" s="1851" t="s">
        <v>28</v>
      </c>
      <c r="I320" s="1851" t="s">
        <v>939</v>
      </c>
    </row>
    <row customHeight="1" ht="11.25">
      <c r="A321" s="1851" t="s">
        <v>2283</v>
      </c>
      <c r="B321" s="1851" t="s">
        <v>16</v>
      </c>
      <c r="C321" s="1851" t="s">
        <v>2365</v>
      </c>
      <c r="D321" s="1851" t="s">
        <v>2366</v>
      </c>
      <c r="E321" s="1851" t="s">
        <v>2367</v>
      </c>
      <c r="F321" s="1851" t="s">
        <v>2286</v>
      </c>
      <c r="G321" s="1851" t="s">
        <v>2368</v>
      </c>
      <c r="H321" s="1851" t="s">
        <v>28</v>
      </c>
      <c r="I321" s="1851" t="s">
        <v>939</v>
      </c>
    </row>
    <row customHeight="1" ht="11.25">
      <c r="A322" s="1851" t="s">
        <v>2283</v>
      </c>
      <c r="B322" s="1851" t="s">
        <v>16</v>
      </c>
      <c r="C322" s="1851" t="s">
        <v>2744</v>
      </c>
      <c r="D322" s="1851" t="s">
        <v>2745</v>
      </c>
      <c r="E322" s="1851" t="s">
        <v>2746</v>
      </c>
      <c r="F322" s="1851" t="s">
        <v>2747</v>
      </c>
      <c r="G322" s="1851" t="s">
        <v>28</v>
      </c>
      <c r="H322" s="1851" t="s">
        <v>28</v>
      </c>
      <c r="I322" s="1851" t="s">
        <v>939</v>
      </c>
    </row>
    <row customHeight="1" ht="11.25">
      <c r="A323" s="1851" t="s">
        <v>2283</v>
      </c>
      <c r="B323" s="1851" t="s">
        <v>16</v>
      </c>
      <c r="C323" s="1851" t="s">
        <v>2387</v>
      </c>
      <c r="D323" s="1851" t="s">
        <v>2388</v>
      </c>
      <c r="E323" s="1851" t="s">
        <v>2385</v>
      </c>
      <c r="F323" s="1851" t="s">
        <v>2389</v>
      </c>
      <c r="G323" s="1851" t="s">
        <v>28</v>
      </c>
      <c r="H323" s="1851" t="s">
        <v>28</v>
      </c>
      <c r="I323" s="1851" t="s">
        <v>939</v>
      </c>
    </row>
    <row customHeight="1" ht="11.25">
      <c r="A324" s="1851" t="s">
        <v>2283</v>
      </c>
      <c r="B324" s="1851" t="s">
        <v>16</v>
      </c>
      <c r="C324" s="1851" t="s">
        <v>2748</v>
      </c>
      <c r="D324" s="1851" t="s">
        <v>2749</v>
      </c>
      <c r="E324" s="1851" t="s">
        <v>2750</v>
      </c>
      <c r="F324" s="1851" t="s">
        <v>2422</v>
      </c>
      <c r="G324" s="1851" t="s">
        <v>28</v>
      </c>
      <c r="H324" s="1851" t="s">
        <v>2751</v>
      </c>
      <c r="I324" s="1851" t="s">
        <v>939</v>
      </c>
    </row>
    <row customHeight="1" ht="11.25">
      <c r="A325" s="1851" t="s">
        <v>2283</v>
      </c>
      <c r="B325" s="1851" t="s">
        <v>16</v>
      </c>
      <c r="C325" s="1851" t="s">
        <v>2755</v>
      </c>
      <c r="D325" s="1851" t="s">
        <v>2756</v>
      </c>
      <c r="E325" s="1851" t="s">
        <v>2757</v>
      </c>
      <c r="F325" s="1851" t="s">
        <v>608</v>
      </c>
      <c r="G325" s="1851" t="s">
        <v>28</v>
      </c>
      <c r="H325" s="1851" t="s">
        <v>28</v>
      </c>
      <c r="I325" s="1851" t="s">
        <v>939</v>
      </c>
    </row>
    <row customHeight="1" ht="11.25">
      <c r="A326" s="1851" t="s">
        <v>2283</v>
      </c>
      <c r="B326" s="1851" t="s">
        <v>16</v>
      </c>
      <c r="C326" s="1851" t="s">
        <v>2761</v>
      </c>
      <c r="D326" s="1851" t="s">
        <v>49</v>
      </c>
      <c r="E326" s="1851" t="s">
        <v>52</v>
      </c>
      <c r="F326" s="1851" t="s">
        <v>2762</v>
      </c>
      <c r="G326" s="1851" t="s">
        <v>28</v>
      </c>
      <c r="H326" s="1851" t="s">
        <v>28</v>
      </c>
      <c r="I326" s="1851" t="s">
        <v>939</v>
      </c>
    </row>
    <row customHeight="1" ht="11.25">
      <c r="A327" s="1851" t="s">
        <v>2283</v>
      </c>
      <c r="B327" s="1851" t="s">
        <v>16</v>
      </c>
      <c r="C327" s="1851" t="s">
        <v>2710</v>
      </c>
      <c r="D327" s="1851" t="s">
        <v>49</v>
      </c>
      <c r="E327" s="1851" t="s">
        <v>52</v>
      </c>
      <c r="F327" s="1851" t="s">
        <v>2711</v>
      </c>
      <c r="G327" s="1851" t="s">
        <v>28</v>
      </c>
      <c r="H327" s="1851" t="s">
        <v>28</v>
      </c>
      <c r="I327" s="1851" t="s">
        <v>939</v>
      </c>
    </row>
    <row customHeight="1" ht="11.25">
      <c r="A328" s="1851" t="s">
        <v>2283</v>
      </c>
      <c r="B328" s="1851" t="s">
        <v>16</v>
      </c>
      <c r="C328" s="1851" t="s">
        <v>2712</v>
      </c>
      <c r="D328" s="1851" t="s">
        <v>49</v>
      </c>
      <c r="E328" s="1851" t="s">
        <v>52</v>
      </c>
      <c r="F328" s="1851" t="s">
        <v>2713</v>
      </c>
      <c r="G328" s="1851" t="s">
        <v>28</v>
      </c>
      <c r="H328" s="1851" t="s">
        <v>28</v>
      </c>
      <c r="I328" s="1851" t="s">
        <v>939</v>
      </c>
    </row>
    <row customHeight="1" ht="11.25">
      <c r="A329" s="1851" t="s">
        <v>2283</v>
      </c>
      <c r="B329" s="1851" t="s">
        <v>16</v>
      </c>
      <c r="C329" s="1851" t="s">
        <v>2714</v>
      </c>
      <c r="D329" s="1851" t="s">
        <v>49</v>
      </c>
      <c r="E329" s="1851" t="s">
        <v>52</v>
      </c>
      <c r="F329" s="1851" t="s">
        <v>2715</v>
      </c>
      <c r="G329" s="1851" t="s">
        <v>28</v>
      </c>
      <c r="H329" s="1851" t="s">
        <v>28</v>
      </c>
      <c r="I329" s="1851" t="s">
        <v>939</v>
      </c>
    </row>
    <row customHeight="1" ht="11.25">
      <c r="A330" s="1851" t="s">
        <v>2283</v>
      </c>
      <c r="B330" s="1851" t="s">
        <v>16</v>
      </c>
      <c r="C330" s="1851" t="s">
        <v>2763</v>
      </c>
      <c r="D330" s="1851" t="s">
        <v>49</v>
      </c>
      <c r="E330" s="1851" t="s">
        <v>52</v>
      </c>
      <c r="F330" s="1851" t="s">
        <v>2764</v>
      </c>
      <c r="G330" s="1851" t="s">
        <v>28</v>
      </c>
      <c r="H330" s="1851" t="s">
        <v>28</v>
      </c>
      <c r="I330" s="1851" t="s">
        <v>939</v>
      </c>
    </row>
    <row customHeight="1" ht="11.25">
      <c r="A331" s="1851" t="s">
        <v>2283</v>
      </c>
      <c r="B331" s="1851" t="s">
        <v>16</v>
      </c>
      <c r="C331" s="1851" t="s">
        <v>2716</v>
      </c>
      <c r="D331" s="1851" t="s">
        <v>49</v>
      </c>
      <c r="E331" s="1851" t="s">
        <v>52</v>
      </c>
      <c r="F331" s="1851" t="s">
        <v>2717</v>
      </c>
      <c r="G331" s="1851" t="s">
        <v>28</v>
      </c>
      <c r="H331" s="1851" t="s">
        <v>28</v>
      </c>
      <c r="I331" s="1851" t="s">
        <v>939</v>
      </c>
    </row>
    <row customHeight="1" ht="11.25">
      <c r="A332" s="1851" t="s">
        <v>2283</v>
      </c>
      <c r="B332" s="1851" t="s">
        <v>16</v>
      </c>
      <c r="C332" s="1851" t="s">
        <v>2718</v>
      </c>
      <c r="D332" s="1851" t="s">
        <v>49</v>
      </c>
      <c r="E332" s="1851" t="s">
        <v>52</v>
      </c>
      <c r="F332" s="1851" t="s">
        <v>2719</v>
      </c>
      <c r="G332" s="1851" t="s">
        <v>28</v>
      </c>
      <c r="H332" s="1851" t="s">
        <v>28</v>
      </c>
      <c r="I332" s="1851" t="s">
        <v>939</v>
      </c>
    </row>
    <row customHeight="1" ht="11.25">
      <c r="A333" s="1851" t="s">
        <v>2283</v>
      </c>
      <c r="B333" s="1851" t="s">
        <v>16</v>
      </c>
      <c r="C333" s="1851" t="s">
        <v>2720</v>
      </c>
      <c r="D333" s="1851" t="s">
        <v>49</v>
      </c>
      <c r="E333" s="1851" t="s">
        <v>52</v>
      </c>
      <c r="F333" s="1851" t="s">
        <v>2721</v>
      </c>
      <c r="G333" s="1851" t="s">
        <v>28</v>
      </c>
      <c r="H333" s="1851" t="s">
        <v>28</v>
      </c>
      <c r="I333" s="1851" t="s">
        <v>939</v>
      </c>
    </row>
    <row customHeight="1" ht="11.25">
      <c r="A334" s="1851" t="s">
        <v>2283</v>
      </c>
      <c r="B334" s="1851" t="s">
        <v>16</v>
      </c>
      <c r="C334" s="1851" t="s">
        <v>2722</v>
      </c>
      <c r="D334" s="1851" t="s">
        <v>49</v>
      </c>
      <c r="E334" s="1851" t="s">
        <v>52</v>
      </c>
      <c r="F334" s="1851" t="s">
        <v>2723</v>
      </c>
      <c r="G334" s="1851" t="s">
        <v>28</v>
      </c>
      <c r="H334" s="1851" t="s">
        <v>28</v>
      </c>
      <c r="I334" s="1851" t="s">
        <v>939</v>
      </c>
    </row>
    <row customHeight="1" ht="11.25">
      <c r="A335" s="1851" t="s">
        <v>2283</v>
      </c>
      <c r="B335" s="1851" t="s">
        <v>16</v>
      </c>
      <c r="C335" s="1851" t="s">
        <v>2724</v>
      </c>
      <c r="D335" s="1851" t="s">
        <v>49</v>
      </c>
      <c r="E335" s="1851" t="s">
        <v>52</v>
      </c>
      <c r="F335" s="1851" t="s">
        <v>2725</v>
      </c>
      <c r="G335" s="1851" t="s">
        <v>28</v>
      </c>
      <c r="H335" s="1851" t="s">
        <v>28</v>
      </c>
      <c r="I335" s="1851" t="s">
        <v>939</v>
      </c>
    </row>
    <row customHeight="1" ht="11.25">
      <c r="A336" s="1851" t="s">
        <v>2283</v>
      </c>
      <c r="B336" s="1851" t="s">
        <v>16</v>
      </c>
      <c r="C336" s="1851" t="s">
        <v>13</v>
      </c>
      <c r="D336" s="1851" t="s">
        <v>49</v>
      </c>
      <c r="E336" s="1851" t="s">
        <v>52</v>
      </c>
      <c r="F336" s="1851" t="s">
        <v>54</v>
      </c>
      <c r="G336" s="1851" t="s">
        <v>28</v>
      </c>
      <c r="H336" s="1851" t="s">
        <v>28</v>
      </c>
      <c r="I336" s="1851" t="s">
        <v>939</v>
      </c>
    </row>
    <row customHeight="1" ht="11.25">
      <c r="A337" s="1851" t="s">
        <v>2283</v>
      </c>
      <c r="B337" s="1851" t="s">
        <v>16</v>
      </c>
      <c r="C337" s="1851" t="s">
        <v>2765</v>
      </c>
      <c r="D337" s="1851" t="s">
        <v>2766</v>
      </c>
      <c r="E337" s="1851" t="s">
        <v>2767</v>
      </c>
      <c r="F337" s="1851" t="s">
        <v>2315</v>
      </c>
      <c r="G337" s="1851" t="s">
        <v>28</v>
      </c>
      <c r="H337" s="1851" t="s">
        <v>28</v>
      </c>
      <c r="I337" s="1851" t="s">
        <v>939</v>
      </c>
    </row>
    <row customHeight="1" ht="11.25">
      <c r="A338" s="1851" t="s">
        <v>2283</v>
      </c>
      <c r="B338" s="1851" t="s">
        <v>16</v>
      </c>
      <c r="C338" s="1851" t="s">
        <v>2768</v>
      </c>
      <c r="D338" s="1851" t="s">
        <v>2766</v>
      </c>
      <c r="E338" s="1851" t="s">
        <v>2767</v>
      </c>
      <c r="F338" s="1851" t="s">
        <v>2769</v>
      </c>
      <c r="G338" s="1851" t="s">
        <v>28</v>
      </c>
      <c r="H338" s="1851" t="s">
        <v>28</v>
      </c>
      <c r="I338" s="1851" t="s">
        <v>939</v>
      </c>
    </row>
    <row customHeight="1" ht="11.25">
      <c r="A339" s="1851" t="s">
        <v>2283</v>
      </c>
      <c r="B339" s="1851" t="s">
        <v>16</v>
      </c>
      <c r="C339" s="1851" t="s">
        <v>2770</v>
      </c>
      <c r="D339" s="1851" t="s">
        <v>2727</v>
      </c>
      <c r="E339" s="1851" t="s">
        <v>52</v>
      </c>
      <c r="F339" s="1851" t="s">
        <v>2771</v>
      </c>
      <c r="G339" s="1851" t="s">
        <v>28</v>
      </c>
      <c r="H339" s="1851" t="s">
        <v>28</v>
      </c>
      <c r="I339" s="1851" t="s">
        <v>939</v>
      </c>
    </row>
    <row customHeight="1" ht="11.25">
      <c r="A340" s="1851" t="s">
        <v>2283</v>
      </c>
      <c r="B340" s="1851" t="s">
        <v>16</v>
      </c>
      <c r="C340" s="1851" t="s">
        <v>2726</v>
      </c>
      <c r="D340" s="1851" t="s">
        <v>2727</v>
      </c>
      <c r="E340" s="1851" t="s">
        <v>52</v>
      </c>
      <c r="F340" s="1851" t="s">
        <v>2728</v>
      </c>
      <c r="G340" s="1851" t="s">
        <v>28</v>
      </c>
      <c r="H340" s="1851" t="s">
        <v>28</v>
      </c>
      <c r="I340" s="1851" t="s">
        <v>939</v>
      </c>
    </row>
    <row customHeight="1" ht="11.25">
      <c r="A341" s="1851" t="s">
        <v>2283</v>
      </c>
      <c r="B341" s="1851" t="s">
        <v>16</v>
      </c>
      <c r="C341" s="1851" t="s">
        <v>3033</v>
      </c>
      <c r="D341" s="1851" t="s">
        <v>3034</v>
      </c>
      <c r="E341" s="1851" t="s">
        <v>3035</v>
      </c>
      <c r="F341" s="1851" t="s">
        <v>2542</v>
      </c>
      <c r="G341" s="1851" t="s">
        <v>3036</v>
      </c>
      <c r="H341" s="1851" t="s">
        <v>28</v>
      </c>
      <c r="I341" s="1851" t="s">
        <v>939</v>
      </c>
    </row>
    <row customHeight="1" ht="11.25">
      <c r="A342" s="1851" t="s">
        <v>2283</v>
      </c>
      <c r="B342" s="1851" t="s">
        <v>16</v>
      </c>
      <c r="C342" s="1851" t="s">
        <v>2775</v>
      </c>
      <c r="D342" s="1851" t="s">
        <v>2776</v>
      </c>
      <c r="E342" s="1851" t="s">
        <v>2777</v>
      </c>
      <c r="F342" s="1851" t="s">
        <v>2512</v>
      </c>
      <c r="G342" s="1851" t="s">
        <v>28</v>
      </c>
      <c r="H342" s="1851" t="s">
        <v>28</v>
      </c>
      <c r="I342" s="1851" t="s">
        <v>939</v>
      </c>
    </row>
    <row customHeight="1" ht="11.25">
      <c r="A343" s="1851" t="s">
        <v>2283</v>
      </c>
      <c r="B343" s="1851" t="s">
        <v>16</v>
      </c>
      <c r="C343" s="1851" t="s">
        <v>2778</v>
      </c>
      <c r="D343" s="1851" t="s">
        <v>2779</v>
      </c>
      <c r="E343" s="1851" t="s">
        <v>2780</v>
      </c>
      <c r="F343" s="1851" t="s">
        <v>2621</v>
      </c>
      <c r="G343" s="1851" t="s">
        <v>28</v>
      </c>
      <c r="H343" s="1851" t="s">
        <v>28</v>
      </c>
      <c r="I343" s="1851" t="s">
        <v>939</v>
      </c>
    </row>
    <row customHeight="1" ht="11.25">
      <c r="A344" s="1851" t="s">
        <v>2283</v>
      </c>
      <c r="B344" s="1851" t="s">
        <v>16</v>
      </c>
      <c r="C344" s="1851" t="s">
        <v>2781</v>
      </c>
      <c r="D344" s="1851" t="s">
        <v>2782</v>
      </c>
      <c r="E344" s="1851" t="s">
        <v>2783</v>
      </c>
      <c r="F344" s="1851" t="s">
        <v>2348</v>
      </c>
      <c r="G344" s="1851" t="s">
        <v>28</v>
      </c>
      <c r="H344" s="1851" t="s">
        <v>28</v>
      </c>
      <c r="I344" s="1851" t="s">
        <v>939</v>
      </c>
    </row>
    <row customHeight="1" ht="11.25">
      <c r="A345" s="1851" t="s">
        <v>2283</v>
      </c>
      <c r="B345" s="1851" t="s">
        <v>16</v>
      </c>
      <c r="C345" s="1851" t="s">
        <v>2784</v>
      </c>
      <c r="D345" s="1851" t="s">
        <v>2785</v>
      </c>
      <c r="E345" s="1851" t="s">
        <v>2786</v>
      </c>
      <c r="F345" s="1851" t="s">
        <v>2439</v>
      </c>
      <c r="G345" s="1851" t="s">
        <v>28</v>
      </c>
      <c r="H345" s="1851" t="s">
        <v>28</v>
      </c>
      <c r="I345" s="1851" t="s">
        <v>939</v>
      </c>
    </row>
    <row customHeight="1" ht="11.25">
      <c r="A346" s="1851" t="s">
        <v>2283</v>
      </c>
      <c r="B346" s="1851" t="s">
        <v>16</v>
      </c>
      <c r="C346" s="1851" t="s">
        <v>2791</v>
      </c>
      <c r="D346" s="1851" t="s">
        <v>2792</v>
      </c>
      <c r="E346" s="1851" t="s">
        <v>2793</v>
      </c>
      <c r="F346" s="1851" t="s">
        <v>2348</v>
      </c>
      <c r="G346" s="1851" t="s">
        <v>28</v>
      </c>
      <c r="H346" s="1851" t="s">
        <v>28</v>
      </c>
      <c r="I346" s="1851" t="s">
        <v>939</v>
      </c>
    </row>
    <row customHeight="1" ht="11.25">
      <c r="A347" s="1851" t="s">
        <v>2283</v>
      </c>
      <c r="B347" s="1851" t="s">
        <v>16</v>
      </c>
      <c r="C347" s="1851" t="s">
        <v>2436</v>
      </c>
      <c r="D347" s="1851" t="s">
        <v>2437</v>
      </c>
      <c r="E347" s="1851" t="s">
        <v>2438</v>
      </c>
      <c r="F347" s="1851" t="s">
        <v>2439</v>
      </c>
      <c r="G347" s="1851" t="s">
        <v>28</v>
      </c>
      <c r="H347" s="1851" t="s">
        <v>28</v>
      </c>
      <c r="I347" s="1851" t="s">
        <v>939</v>
      </c>
    </row>
    <row customHeight="1" ht="11.25">
      <c r="A348" s="1851" t="s">
        <v>2283</v>
      </c>
      <c r="B348" s="1851" t="s">
        <v>16</v>
      </c>
      <c r="C348" s="1851" t="s">
        <v>2794</v>
      </c>
      <c r="D348" s="1851" t="s">
        <v>2795</v>
      </c>
      <c r="E348" s="1851" t="s">
        <v>2796</v>
      </c>
      <c r="F348" s="1851" t="s">
        <v>2456</v>
      </c>
      <c r="G348" s="1851" t="s">
        <v>2797</v>
      </c>
      <c r="H348" s="1851" t="s">
        <v>28</v>
      </c>
      <c r="I348" s="1851" t="s">
        <v>939</v>
      </c>
    </row>
    <row customHeight="1" ht="11.25">
      <c r="A349" s="1851" t="s">
        <v>2283</v>
      </c>
      <c r="B349" s="1851" t="s">
        <v>16</v>
      </c>
      <c r="C349" s="1851" t="s">
        <v>2798</v>
      </c>
      <c r="D349" s="1851" t="s">
        <v>2799</v>
      </c>
      <c r="E349" s="1851" t="s">
        <v>2800</v>
      </c>
      <c r="F349" s="1851" t="s">
        <v>2801</v>
      </c>
      <c r="G349" s="1851" t="s">
        <v>28</v>
      </c>
      <c r="H349" s="1851" t="s">
        <v>28</v>
      </c>
      <c r="I349" s="1851" t="s">
        <v>939</v>
      </c>
    </row>
    <row customHeight="1" ht="11.25">
      <c r="A350" s="1851" t="s">
        <v>2283</v>
      </c>
      <c r="B350" s="1851" t="s">
        <v>16</v>
      </c>
      <c r="C350" s="1851" t="s">
        <v>2802</v>
      </c>
      <c r="D350" s="1851" t="s">
        <v>2803</v>
      </c>
      <c r="E350" s="1851" t="s">
        <v>2804</v>
      </c>
      <c r="F350" s="1851" t="s">
        <v>2327</v>
      </c>
      <c r="G350" s="1851" t="s">
        <v>2805</v>
      </c>
      <c r="H350" s="1851" t="s">
        <v>28</v>
      </c>
      <c r="I350" s="1851" t="s">
        <v>939</v>
      </c>
    </row>
    <row customHeight="1" ht="11.25">
      <c r="A351" s="1851" t="s">
        <v>2283</v>
      </c>
      <c r="B351" s="1851" t="s">
        <v>16</v>
      </c>
      <c r="C351" s="1851" t="s">
        <v>2806</v>
      </c>
      <c r="D351" s="1851" t="s">
        <v>2807</v>
      </c>
      <c r="E351" s="1851" t="s">
        <v>2808</v>
      </c>
      <c r="F351" s="1851" t="s">
        <v>2327</v>
      </c>
      <c r="G351" s="1851" t="s">
        <v>2809</v>
      </c>
      <c r="H351" s="1851" t="s">
        <v>28</v>
      </c>
      <c r="I351" s="1851" t="s">
        <v>939</v>
      </c>
    </row>
    <row customHeight="1" ht="11.25">
      <c r="A352" s="1851" t="s">
        <v>2283</v>
      </c>
      <c r="B352" s="1851" t="s">
        <v>16</v>
      </c>
      <c r="C352" s="1851" t="s">
        <v>2443</v>
      </c>
      <c r="D352" s="1851" t="s">
        <v>2444</v>
      </c>
      <c r="E352" s="1851" t="s">
        <v>2445</v>
      </c>
      <c r="F352" s="1851" t="s">
        <v>2446</v>
      </c>
      <c r="G352" s="1851" t="s">
        <v>28</v>
      </c>
      <c r="H352" s="1851" t="s">
        <v>28</v>
      </c>
      <c r="I352" s="1851" t="s">
        <v>939</v>
      </c>
    </row>
    <row customHeight="1" ht="11.25">
      <c r="A353" s="1851" t="s">
        <v>2283</v>
      </c>
      <c r="B353" s="1851" t="s">
        <v>16</v>
      </c>
      <c r="C353" s="1851" t="s">
        <v>3037</v>
      </c>
      <c r="D353" s="1851" t="s">
        <v>3038</v>
      </c>
      <c r="E353" s="1851" t="s">
        <v>3039</v>
      </c>
      <c r="F353" s="1851" t="s">
        <v>2456</v>
      </c>
      <c r="G353" s="1851" t="s">
        <v>28</v>
      </c>
      <c r="H353" s="1851" t="s">
        <v>28</v>
      </c>
      <c r="I353" s="1851" t="s">
        <v>939</v>
      </c>
    </row>
    <row customHeight="1" ht="11.25">
      <c r="A354" s="1851" t="s">
        <v>2283</v>
      </c>
      <c r="B354" s="1851" t="s">
        <v>16</v>
      </c>
      <c r="C354" s="1851" t="s">
        <v>2447</v>
      </c>
      <c r="D354" s="1851" t="s">
        <v>2448</v>
      </c>
      <c r="E354" s="1851" t="s">
        <v>2449</v>
      </c>
      <c r="F354" s="1851" t="s">
        <v>2323</v>
      </c>
      <c r="G354" s="1851" t="s">
        <v>28</v>
      </c>
      <c r="H354" s="1851" t="s">
        <v>28</v>
      </c>
      <c r="I354" s="1851" t="s">
        <v>939</v>
      </c>
    </row>
    <row customHeight="1" ht="11.25">
      <c r="A355" s="1851" t="s">
        <v>2283</v>
      </c>
      <c r="B355" s="1851" t="s">
        <v>16</v>
      </c>
      <c r="C355" s="1851" t="s">
        <v>2450</v>
      </c>
      <c r="D355" s="1851" t="s">
        <v>2451</v>
      </c>
      <c r="E355" s="1851" t="s">
        <v>2452</v>
      </c>
      <c r="F355" s="1851" t="s">
        <v>2323</v>
      </c>
      <c r="G355" s="1851" t="s">
        <v>28</v>
      </c>
      <c r="H355" s="1851" t="s">
        <v>28</v>
      </c>
      <c r="I355" s="1851" t="s">
        <v>939</v>
      </c>
    </row>
    <row customHeight="1" ht="11.25">
      <c r="A356" s="1851" t="s">
        <v>2283</v>
      </c>
      <c r="B356" s="1851" t="s">
        <v>16</v>
      </c>
      <c r="C356" s="1851" t="s">
        <v>2453</v>
      </c>
      <c r="D356" s="1851" t="s">
        <v>2454</v>
      </c>
      <c r="E356" s="1851" t="s">
        <v>2455</v>
      </c>
      <c r="F356" s="1851" t="s">
        <v>2456</v>
      </c>
      <c r="G356" s="1851" t="s">
        <v>28</v>
      </c>
      <c r="H356" s="1851" t="s">
        <v>28</v>
      </c>
      <c r="I356" s="1851" t="s">
        <v>939</v>
      </c>
    </row>
    <row customHeight="1" ht="11.25">
      <c r="A357" s="1851" t="s">
        <v>2283</v>
      </c>
      <c r="B357" s="1851" t="s">
        <v>16</v>
      </c>
      <c r="C357" s="1851" t="s">
        <v>2810</v>
      </c>
      <c r="D357" s="1851" t="s">
        <v>2811</v>
      </c>
      <c r="E357" s="1851" t="s">
        <v>2812</v>
      </c>
      <c r="F357" s="1851" t="s">
        <v>2393</v>
      </c>
      <c r="G357" s="1851" t="s">
        <v>28</v>
      </c>
      <c r="H357" s="1851" t="s">
        <v>28</v>
      </c>
      <c r="I357" s="1851" t="s">
        <v>939</v>
      </c>
    </row>
    <row customHeight="1" ht="11.25">
      <c r="A358" s="1851" t="s">
        <v>2283</v>
      </c>
      <c r="B358" s="1851" t="s">
        <v>16</v>
      </c>
      <c r="C358" s="1851" t="s">
        <v>2813</v>
      </c>
      <c r="D358" s="1851" t="s">
        <v>2814</v>
      </c>
      <c r="E358" s="1851" t="s">
        <v>2815</v>
      </c>
      <c r="F358" s="1851" t="s">
        <v>2356</v>
      </c>
      <c r="G358" s="1851" t="s">
        <v>2816</v>
      </c>
      <c r="H358" s="1851" t="s">
        <v>28</v>
      </c>
      <c r="I358" s="1851" t="s">
        <v>939</v>
      </c>
    </row>
    <row customHeight="1" ht="11.25">
      <c r="A359" s="1851" t="s">
        <v>2283</v>
      </c>
      <c r="B359" s="1851" t="s">
        <v>16</v>
      </c>
      <c r="C359" s="1851" t="s">
        <v>2817</v>
      </c>
      <c r="D359" s="1851" t="s">
        <v>2818</v>
      </c>
      <c r="E359" s="1851" t="s">
        <v>2819</v>
      </c>
      <c r="F359" s="1851" t="s">
        <v>2414</v>
      </c>
      <c r="G359" s="1851" t="s">
        <v>2820</v>
      </c>
      <c r="H359" s="1851" t="s">
        <v>28</v>
      </c>
      <c r="I359" s="1851" t="s">
        <v>939</v>
      </c>
    </row>
    <row customHeight="1" ht="11.25">
      <c r="A360" s="1851" t="s">
        <v>2283</v>
      </c>
      <c r="B360" s="1851" t="s">
        <v>16</v>
      </c>
      <c r="C360" s="1851" t="s">
        <v>2457</v>
      </c>
      <c r="D360" s="1851" t="s">
        <v>2458</v>
      </c>
      <c r="E360" s="1851" t="s">
        <v>2459</v>
      </c>
      <c r="F360" s="1851" t="s">
        <v>2327</v>
      </c>
      <c r="G360" s="1851" t="s">
        <v>28</v>
      </c>
      <c r="H360" s="1851" t="s">
        <v>28</v>
      </c>
      <c r="I360" s="1851" t="s">
        <v>939</v>
      </c>
    </row>
    <row customHeight="1" ht="11.25">
      <c r="A361" s="1851" t="s">
        <v>2283</v>
      </c>
      <c r="B361" s="1851" t="s">
        <v>16</v>
      </c>
      <c r="C361" s="1851" t="s">
        <v>2821</v>
      </c>
      <c r="D361" s="1851" t="s">
        <v>2822</v>
      </c>
      <c r="E361" s="1851" t="s">
        <v>2823</v>
      </c>
      <c r="F361" s="1851" t="s">
        <v>2790</v>
      </c>
      <c r="G361" s="1851" t="s">
        <v>28</v>
      </c>
      <c r="H361" s="1851" t="s">
        <v>28</v>
      </c>
      <c r="I361" s="1851" t="s">
        <v>939</v>
      </c>
    </row>
    <row customHeight="1" ht="11.25">
      <c r="A362" s="1851" t="s">
        <v>2283</v>
      </c>
      <c r="B362" s="1851" t="s">
        <v>16</v>
      </c>
      <c r="C362" s="1851" t="s">
        <v>2460</v>
      </c>
      <c r="D362" s="1851" t="s">
        <v>2461</v>
      </c>
      <c r="E362" s="1851" t="s">
        <v>2462</v>
      </c>
      <c r="F362" s="1851" t="s">
        <v>2446</v>
      </c>
      <c r="G362" s="1851" t="s">
        <v>28</v>
      </c>
      <c r="H362" s="1851" t="s">
        <v>28</v>
      </c>
      <c r="I362" s="1851" t="s">
        <v>939</v>
      </c>
    </row>
    <row customHeight="1" ht="11.25">
      <c r="A363" s="1851" t="s">
        <v>2283</v>
      </c>
      <c r="B363" s="1851" t="s">
        <v>16</v>
      </c>
      <c r="C363" s="1851" t="s">
        <v>2824</v>
      </c>
      <c r="D363" s="1851" t="s">
        <v>2825</v>
      </c>
      <c r="E363" s="1851" t="s">
        <v>2826</v>
      </c>
      <c r="F363" s="1851" t="s">
        <v>2356</v>
      </c>
      <c r="G363" s="1851" t="s">
        <v>28</v>
      </c>
      <c r="H363" s="1851" t="s">
        <v>28</v>
      </c>
      <c r="I363" s="1851" t="s">
        <v>939</v>
      </c>
    </row>
    <row customHeight="1" ht="11.25">
      <c r="A364" s="1851" t="s">
        <v>2283</v>
      </c>
      <c r="B364" s="1851" t="s">
        <v>16</v>
      </c>
      <c r="C364" s="1851" t="s">
        <v>2827</v>
      </c>
      <c r="D364" s="1851" t="s">
        <v>2828</v>
      </c>
      <c r="E364" s="1851" t="s">
        <v>2829</v>
      </c>
      <c r="F364" s="1851" t="s">
        <v>2703</v>
      </c>
      <c r="G364" s="1851" t="s">
        <v>28</v>
      </c>
      <c r="H364" s="1851" t="s">
        <v>28</v>
      </c>
      <c r="I364" s="1851" t="s">
        <v>939</v>
      </c>
    </row>
    <row customHeight="1" ht="11.25">
      <c r="A365" s="1851" t="s">
        <v>2283</v>
      </c>
      <c r="B365" s="1851" t="s">
        <v>16</v>
      </c>
      <c r="C365" s="1851" t="s">
        <v>2830</v>
      </c>
      <c r="D365" s="1851" t="s">
        <v>2831</v>
      </c>
      <c r="E365" s="1851" t="s">
        <v>2832</v>
      </c>
      <c r="F365" s="1851" t="s">
        <v>2290</v>
      </c>
      <c r="G365" s="1851" t="s">
        <v>28</v>
      </c>
      <c r="H365" s="1851" t="s">
        <v>28</v>
      </c>
      <c r="I365" s="1851" t="s">
        <v>939</v>
      </c>
    </row>
    <row customHeight="1" ht="11.25">
      <c r="A366" s="1851" t="s">
        <v>2283</v>
      </c>
      <c r="B366" s="1851" t="s">
        <v>16</v>
      </c>
      <c r="C366" s="1851" t="s">
        <v>2463</v>
      </c>
      <c r="D366" s="1851" t="s">
        <v>2464</v>
      </c>
      <c r="E366" s="1851" t="s">
        <v>2465</v>
      </c>
      <c r="F366" s="1851" t="s">
        <v>2466</v>
      </c>
      <c r="G366" s="1851" t="s">
        <v>28</v>
      </c>
      <c r="H366" s="1851" t="s">
        <v>28</v>
      </c>
      <c r="I366" s="1851" t="s">
        <v>939</v>
      </c>
    </row>
    <row customHeight="1" ht="11.25">
      <c r="A367" s="1851" t="s">
        <v>2283</v>
      </c>
      <c r="B367" s="1851" t="s">
        <v>16</v>
      </c>
      <c r="C367" s="1851" t="s">
        <v>2833</v>
      </c>
      <c r="D367" s="1851" t="s">
        <v>2834</v>
      </c>
      <c r="E367" s="1851" t="s">
        <v>2835</v>
      </c>
      <c r="F367" s="1851" t="s">
        <v>2703</v>
      </c>
      <c r="G367" s="1851" t="s">
        <v>28</v>
      </c>
      <c r="H367" s="1851" t="s">
        <v>28</v>
      </c>
      <c r="I367" s="1851" t="s">
        <v>939</v>
      </c>
    </row>
    <row customHeight="1" ht="11.25">
      <c r="A368" s="1851" t="s">
        <v>2283</v>
      </c>
      <c r="B368" s="1851" t="s">
        <v>16</v>
      </c>
      <c r="C368" s="1851" t="s">
        <v>2467</v>
      </c>
      <c r="D368" s="1851" t="s">
        <v>2468</v>
      </c>
      <c r="E368" s="1851" t="s">
        <v>2469</v>
      </c>
      <c r="F368" s="1851" t="s">
        <v>54</v>
      </c>
      <c r="G368" s="1851" t="s">
        <v>28</v>
      </c>
      <c r="H368" s="1851" t="s">
        <v>28</v>
      </c>
      <c r="I368" s="1851" t="s">
        <v>939</v>
      </c>
    </row>
    <row customHeight="1" ht="11.25">
      <c r="A369" s="1851" t="s">
        <v>2283</v>
      </c>
      <c r="B369" s="1851" t="s">
        <v>16</v>
      </c>
      <c r="C369" s="1851" t="s">
        <v>2477</v>
      </c>
      <c r="D369" s="1851" t="s">
        <v>2478</v>
      </c>
      <c r="E369" s="1851" t="s">
        <v>2479</v>
      </c>
      <c r="F369" s="1851" t="s">
        <v>2480</v>
      </c>
      <c r="G369" s="1851" t="s">
        <v>28</v>
      </c>
      <c r="H369" s="1851" t="s">
        <v>28</v>
      </c>
      <c r="I369" s="1851" t="s">
        <v>939</v>
      </c>
    </row>
    <row customHeight="1" ht="11.25">
      <c r="A370" s="1851" t="s">
        <v>2283</v>
      </c>
      <c r="B370" s="1851" t="s">
        <v>16</v>
      </c>
      <c r="C370" s="1851" t="s">
        <v>3040</v>
      </c>
      <c r="D370" s="1851" t="s">
        <v>3041</v>
      </c>
      <c r="E370" s="1851" t="s">
        <v>3042</v>
      </c>
      <c r="F370" s="1851" t="s">
        <v>2348</v>
      </c>
      <c r="G370" s="1851" t="s">
        <v>28</v>
      </c>
      <c r="H370" s="1851" t="s">
        <v>28</v>
      </c>
      <c r="I370" s="1851" t="s">
        <v>939</v>
      </c>
    </row>
    <row customHeight="1" ht="11.25">
      <c r="A371" s="1851" t="s">
        <v>2283</v>
      </c>
      <c r="B371" s="1851" t="s">
        <v>16</v>
      </c>
      <c r="C371" s="1851" t="s">
        <v>2494</v>
      </c>
      <c r="D371" s="1851" t="s">
        <v>2495</v>
      </c>
      <c r="E371" s="1851" t="s">
        <v>2496</v>
      </c>
      <c r="F371" s="1851" t="s">
        <v>2323</v>
      </c>
      <c r="G371" s="1851" t="s">
        <v>28</v>
      </c>
      <c r="H371" s="1851" t="s">
        <v>28</v>
      </c>
      <c r="I371" s="1851" t="s">
        <v>939</v>
      </c>
    </row>
    <row customHeight="1" ht="11.25">
      <c r="A372" s="1851" t="s">
        <v>2283</v>
      </c>
      <c r="B372" s="1851" t="s">
        <v>16</v>
      </c>
      <c r="C372" s="1851" t="s">
        <v>2842</v>
      </c>
      <c r="D372" s="1851" t="s">
        <v>2843</v>
      </c>
      <c r="E372" s="1851" t="s">
        <v>2844</v>
      </c>
      <c r="F372" s="1851" t="s">
        <v>2327</v>
      </c>
      <c r="G372" s="1851" t="s">
        <v>2845</v>
      </c>
      <c r="H372" s="1851" t="s">
        <v>28</v>
      </c>
      <c r="I372" s="1851" t="s">
        <v>939</v>
      </c>
    </row>
    <row customHeight="1" ht="11.25">
      <c r="A373" s="1851" t="s">
        <v>2283</v>
      </c>
      <c r="B373" s="1851" t="s">
        <v>16</v>
      </c>
      <c r="C373" s="1851" t="s">
        <v>2846</v>
      </c>
      <c r="D373" s="1851" t="s">
        <v>2847</v>
      </c>
      <c r="E373" s="1851" t="s">
        <v>2848</v>
      </c>
      <c r="F373" s="1851" t="s">
        <v>2339</v>
      </c>
      <c r="G373" s="1851" t="s">
        <v>2849</v>
      </c>
      <c r="H373" s="1851" t="s">
        <v>28</v>
      </c>
      <c r="I373" s="1851" t="s">
        <v>939</v>
      </c>
    </row>
    <row customHeight="1" ht="11.25">
      <c r="A374" s="1851" t="s">
        <v>2283</v>
      </c>
      <c r="B374" s="1851" t="s">
        <v>16</v>
      </c>
      <c r="C374" s="1851" t="s">
        <v>2850</v>
      </c>
      <c r="D374" s="1851" t="s">
        <v>2851</v>
      </c>
      <c r="E374" s="1851" t="s">
        <v>2852</v>
      </c>
      <c r="F374" s="1851" t="s">
        <v>2600</v>
      </c>
      <c r="G374" s="1851" t="s">
        <v>2853</v>
      </c>
      <c r="H374" s="1851" t="s">
        <v>28</v>
      </c>
      <c r="I374" s="1851" t="s">
        <v>939</v>
      </c>
    </row>
    <row customHeight="1" ht="11.25">
      <c r="A375" s="1851" t="s">
        <v>2283</v>
      </c>
      <c r="B375" s="1851" t="s">
        <v>16</v>
      </c>
      <c r="C375" s="1851" t="s">
        <v>2854</v>
      </c>
      <c r="D375" s="1851" t="s">
        <v>2855</v>
      </c>
      <c r="E375" s="1851" t="s">
        <v>2856</v>
      </c>
      <c r="F375" s="1851" t="s">
        <v>2857</v>
      </c>
      <c r="G375" s="1851" t="s">
        <v>28</v>
      </c>
      <c r="H375" s="1851" t="s">
        <v>28</v>
      </c>
      <c r="I375" s="1851" t="s">
        <v>939</v>
      </c>
    </row>
    <row customHeight="1" ht="11.25">
      <c r="A376" s="1851" t="s">
        <v>2283</v>
      </c>
      <c r="B376" s="1851" t="s">
        <v>16</v>
      </c>
      <c r="C376" s="1851" t="s">
        <v>2862</v>
      </c>
      <c r="D376" s="1851" t="s">
        <v>2863</v>
      </c>
      <c r="E376" s="1851" t="s">
        <v>2864</v>
      </c>
      <c r="F376" s="1851" t="s">
        <v>2315</v>
      </c>
      <c r="G376" s="1851" t="s">
        <v>28</v>
      </c>
      <c r="H376" s="1851" t="s">
        <v>28</v>
      </c>
      <c r="I376" s="1851" t="s">
        <v>939</v>
      </c>
    </row>
    <row customHeight="1" ht="11.25">
      <c r="A377" s="1851" t="s">
        <v>2283</v>
      </c>
      <c r="B377" s="1851" t="s">
        <v>16</v>
      </c>
      <c r="C377" s="1851" t="s">
        <v>2865</v>
      </c>
      <c r="D377" s="1851" t="s">
        <v>2866</v>
      </c>
      <c r="E377" s="1851" t="s">
        <v>2867</v>
      </c>
      <c r="F377" s="1851" t="s">
        <v>2868</v>
      </c>
      <c r="G377" s="1851" t="s">
        <v>28</v>
      </c>
      <c r="H377" s="1851" t="s">
        <v>28</v>
      </c>
      <c r="I377" s="1851" t="s">
        <v>939</v>
      </c>
    </row>
    <row customHeight="1" ht="11.25">
      <c r="A378" s="1851" t="s">
        <v>2283</v>
      </c>
      <c r="B378" s="1851" t="s">
        <v>16</v>
      </c>
      <c r="C378" s="1851" t="s">
        <v>2869</v>
      </c>
      <c r="D378" s="1851" t="s">
        <v>2870</v>
      </c>
      <c r="E378" s="1851" t="s">
        <v>2871</v>
      </c>
      <c r="F378" s="1851" t="s">
        <v>2677</v>
      </c>
      <c r="G378" s="1851" t="s">
        <v>28</v>
      </c>
      <c r="H378" s="1851" t="s">
        <v>28</v>
      </c>
      <c r="I378" s="1851" t="s">
        <v>939</v>
      </c>
    </row>
    <row customHeight="1" ht="11.25">
      <c r="A379" s="1851" t="s">
        <v>2283</v>
      </c>
      <c r="B379" s="1851" t="s">
        <v>16</v>
      </c>
      <c r="C379" s="1851" t="s">
        <v>3043</v>
      </c>
      <c r="D379" s="1851" t="s">
        <v>3044</v>
      </c>
      <c r="E379" s="1851" t="s">
        <v>3045</v>
      </c>
      <c r="F379" s="1851" t="s">
        <v>2294</v>
      </c>
      <c r="G379" s="1851" t="s">
        <v>2861</v>
      </c>
      <c r="H379" s="1851" t="s">
        <v>28</v>
      </c>
      <c r="I379" s="1851" t="s">
        <v>939</v>
      </c>
    </row>
    <row customHeight="1" ht="11.25">
      <c r="A380" s="1851" t="s">
        <v>2283</v>
      </c>
      <c r="B380" s="1851" t="s">
        <v>16</v>
      </c>
      <c r="C380" s="1851" t="s">
        <v>3046</v>
      </c>
      <c r="D380" s="1851" t="s">
        <v>3044</v>
      </c>
      <c r="E380" s="1851" t="s">
        <v>3047</v>
      </c>
      <c r="F380" s="1851" t="s">
        <v>2703</v>
      </c>
      <c r="G380" s="1851" t="s">
        <v>2875</v>
      </c>
      <c r="H380" s="1851" t="s">
        <v>28</v>
      </c>
      <c r="I380" s="1851" t="s">
        <v>939</v>
      </c>
    </row>
    <row customHeight="1" ht="11.25">
      <c r="A381" s="1851" t="s">
        <v>2283</v>
      </c>
      <c r="B381" s="1851" t="s">
        <v>16</v>
      </c>
      <c r="C381" s="1851" t="s">
        <v>2509</v>
      </c>
      <c r="D381" s="1851" t="s">
        <v>2510</v>
      </c>
      <c r="E381" s="1851" t="s">
        <v>2511</v>
      </c>
      <c r="F381" s="1851" t="s">
        <v>2512</v>
      </c>
      <c r="G381" s="1851" t="s">
        <v>2513</v>
      </c>
      <c r="H381" s="1851" t="s">
        <v>28</v>
      </c>
      <c r="I381" s="1851" t="s">
        <v>939</v>
      </c>
    </row>
    <row customHeight="1" ht="11.25">
      <c r="A382" s="1851" t="s">
        <v>2283</v>
      </c>
      <c r="B382" s="1851" t="s">
        <v>16</v>
      </c>
      <c r="C382" s="1851" t="s">
        <v>2876</v>
      </c>
      <c r="D382" s="1851" t="s">
        <v>2877</v>
      </c>
      <c r="E382" s="1851" t="s">
        <v>2878</v>
      </c>
      <c r="F382" s="1851" t="s">
        <v>2327</v>
      </c>
      <c r="G382" s="1851" t="s">
        <v>28</v>
      </c>
      <c r="H382" s="1851" t="s">
        <v>28</v>
      </c>
      <c r="I382" s="1851" t="s">
        <v>939</v>
      </c>
    </row>
    <row customHeight="1" ht="11.25">
      <c r="A383" s="1851" t="s">
        <v>2283</v>
      </c>
      <c r="B383" s="1851" t="s">
        <v>16</v>
      </c>
      <c r="C383" s="1851" t="s">
        <v>3048</v>
      </c>
      <c r="D383" s="1851" t="s">
        <v>3049</v>
      </c>
      <c r="E383" s="1851" t="s">
        <v>3050</v>
      </c>
      <c r="F383" s="1851" t="s">
        <v>2290</v>
      </c>
      <c r="G383" s="1851" t="s">
        <v>28</v>
      </c>
      <c r="H383" s="1851" t="s">
        <v>28</v>
      </c>
      <c r="I383" s="1851" t="s">
        <v>939</v>
      </c>
    </row>
    <row customHeight="1" ht="11.25">
      <c r="A384" s="1851" t="s">
        <v>2283</v>
      </c>
      <c r="B384" s="1851" t="s">
        <v>16</v>
      </c>
      <c r="C384" s="1851" t="s">
        <v>2882</v>
      </c>
      <c r="D384" s="1851" t="s">
        <v>2883</v>
      </c>
      <c r="E384" s="1851" t="s">
        <v>2884</v>
      </c>
      <c r="F384" s="1851" t="s">
        <v>2286</v>
      </c>
      <c r="G384" s="1851" t="s">
        <v>28</v>
      </c>
      <c r="H384" s="1851" t="s">
        <v>28</v>
      </c>
      <c r="I384" s="1851" t="s">
        <v>939</v>
      </c>
    </row>
    <row customHeight="1" ht="11.25">
      <c r="A385" s="1851" t="s">
        <v>2283</v>
      </c>
      <c r="B385" s="1851" t="s">
        <v>16</v>
      </c>
      <c r="C385" s="1851" t="s">
        <v>2885</v>
      </c>
      <c r="D385" s="1851" t="s">
        <v>2886</v>
      </c>
      <c r="E385" s="1851" t="s">
        <v>2887</v>
      </c>
      <c r="F385" s="1851" t="s">
        <v>2290</v>
      </c>
      <c r="G385" s="1851" t="s">
        <v>28</v>
      </c>
      <c r="H385" s="1851" t="s">
        <v>28</v>
      </c>
      <c r="I385" s="1851" t="s">
        <v>939</v>
      </c>
    </row>
    <row customHeight="1" ht="11.25">
      <c r="A386" s="1851" t="s">
        <v>2283</v>
      </c>
      <c r="B386" s="1851" t="s">
        <v>16</v>
      </c>
      <c r="C386" s="1851" t="s">
        <v>2526</v>
      </c>
      <c r="D386" s="1851" t="s">
        <v>2527</v>
      </c>
      <c r="E386" s="1851" t="s">
        <v>2528</v>
      </c>
      <c r="F386" s="1851" t="s">
        <v>2512</v>
      </c>
      <c r="G386" s="1851" t="s">
        <v>28</v>
      </c>
      <c r="H386" s="1851" t="s">
        <v>28</v>
      </c>
      <c r="I386" s="1851" t="s">
        <v>939</v>
      </c>
    </row>
    <row customHeight="1" ht="11.25">
      <c r="A387" s="1851" t="s">
        <v>2283</v>
      </c>
      <c r="B387" s="1851" t="s">
        <v>16</v>
      </c>
      <c r="C387" s="1851" t="s">
        <v>2532</v>
      </c>
      <c r="D387" s="1851" t="s">
        <v>2533</v>
      </c>
      <c r="E387" s="1851" t="s">
        <v>2534</v>
      </c>
      <c r="F387" s="1851" t="s">
        <v>2512</v>
      </c>
      <c r="G387" s="1851" t="s">
        <v>28</v>
      </c>
      <c r="H387" s="1851" t="s">
        <v>28</v>
      </c>
      <c r="I387" s="1851" t="s">
        <v>939</v>
      </c>
    </row>
    <row customHeight="1" ht="11.25">
      <c r="A388" s="1851" t="s">
        <v>2283</v>
      </c>
      <c r="B388" s="1851" t="s">
        <v>16</v>
      </c>
      <c r="C388" s="1851" t="s">
        <v>2888</v>
      </c>
      <c r="D388" s="1851" t="s">
        <v>2889</v>
      </c>
      <c r="E388" s="1851" t="s">
        <v>2890</v>
      </c>
      <c r="F388" s="1851" t="s">
        <v>2512</v>
      </c>
      <c r="G388" s="1851" t="s">
        <v>28</v>
      </c>
      <c r="H388" s="1851" t="s">
        <v>28</v>
      </c>
      <c r="I388" s="1851" t="s">
        <v>939</v>
      </c>
    </row>
    <row customHeight="1" ht="11.25">
      <c r="A389" s="1851" t="s">
        <v>2283</v>
      </c>
      <c r="B389" s="1851" t="s">
        <v>16</v>
      </c>
      <c r="C389" s="1851" t="s">
        <v>2891</v>
      </c>
      <c r="D389" s="1851" t="s">
        <v>2892</v>
      </c>
      <c r="E389" s="1851" t="s">
        <v>2893</v>
      </c>
      <c r="F389" s="1851" t="s">
        <v>2466</v>
      </c>
      <c r="G389" s="1851" t="s">
        <v>2894</v>
      </c>
      <c r="H389" s="1851" t="s">
        <v>28</v>
      </c>
      <c r="I389" s="1851" t="s">
        <v>939</v>
      </c>
    </row>
    <row customHeight="1" ht="11.25">
      <c r="A390" s="1851" t="s">
        <v>2283</v>
      </c>
      <c r="B390" s="1851" t="s">
        <v>16</v>
      </c>
      <c r="C390" s="1851" t="s">
        <v>2895</v>
      </c>
      <c r="D390" s="1851" t="s">
        <v>2896</v>
      </c>
      <c r="E390" s="1851" t="s">
        <v>2897</v>
      </c>
      <c r="F390" s="1851" t="s">
        <v>2290</v>
      </c>
      <c r="G390" s="1851" t="s">
        <v>2898</v>
      </c>
      <c r="H390" s="1851" t="s">
        <v>28</v>
      </c>
      <c r="I390" s="1851" t="s">
        <v>939</v>
      </c>
    </row>
    <row customHeight="1" ht="11.25">
      <c r="A391" s="1851" t="s">
        <v>2283</v>
      </c>
      <c r="B391" s="1851" t="s">
        <v>16</v>
      </c>
      <c r="C391" s="1851" t="s">
        <v>2899</v>
      </c>
      <c r="D391" s="1851" t="s">
        <v>2900</v>
      </c>
      <c r="E391" s="1851" t="s">
        <v>2901</v>
      </c>
      <c r="F391" s="1851" t="s">
        <v>2422</v>
      </c>
      <c r="G391" s="1851" t="s">
        <v>28</v>
      </c>
      <c r="H391" s="1851" t="s">
        <v>28</v>
      </c>
      <c r="I391" s="1851" t="s">
        <v>939</v>
      </c>
    </row>
    <row customHeight="1" ht="11.25">
      <c r="A392" s="1851" t="s">
        <v>2283</v>
      </c>
      <c r="B392" s="1851" t="s">
        <v>16</v>
      </c>
      <c r="C392" s="1851" t="s">
        <v>2902</v>
      </c>
      <c r="D392" s="1851" t="s">
        <v>2903</v>
      </c>
      <c r="E392" s="1851" t="s">
        <v>2904</v>
      </c>
      <c r="F392" s="1851" t="s">
        <v>2703</v>
      </c>
      <c r="G392" s="1851" t="s">
        <v>2905</v>
      </c>
      <c r="H392" s="1851" t="s">
        <v>28</v>
      </c>
      <c r="I392" s="1851" t="s">
        <v>939</v>
      </c>
    </row>
    <row customHeight="1" ht="11.25">
      <c r="A393" s="1851" t="s">
        <v>2283</v>
      </c>
      <c r="B393" s="1851" t="s">
        <v>16</v>
      </c>
      <c r="C393" s="1851" t="s">
        <v>2906</v>
      </c>
      <c r="D393" s="1851" t="s">
        <v>2907</v>
      </c>
      <c r="E393" s="1851" t="s">
        <v>2908</v>
      </c>
      <c r="F393" s="1851" t="s">
        <v>2348</v>
      </c>
      <c r="G393" s="1851" t="s">
        <v>2909</v>
      </c>
      <c r="H393" s="1851" t="s">
        <v>28</v>
      </c>
      <c r="I393" s="1851" t="s">
        <v>939</v>
      </c>
    </row>
    <row customHeight="1" ht="11.25">
      <c r="A394" s="1851" t="s">
        <v>2283</v>
      </c>
      <c r="B394" s="1851" t="s">
        <v>16</v>
      </c>
      <c r="C394" s="1851" t="s">
        <v>3051</v>
      </c>
      <c r="D394" s="1851" t="s">
        <v>3052</v>
      </c>
      <c r="E394" s="1851" t="s">
        <v>3053</v>
      </c>
      <c r="F394" s="1851" t="s">
        <v>2286</v>
      </c>
      <c r="G394" s="1851" t="s">
        <v>28</v>
      </c>
      <c r="H394" s="1851" t="s">
        <v>3054</v>
      </c>
      <c r="I394" s="1851" t="s">
        <v>939</v>
      </c>
    </row>
    <row customHeight="1" ht="11.25">
      <c r="A395" s="1851" t="s">
        <v>2283</v>
      </c>
      <c r="B395" s="1851" t="s">
        <v>16</v>
      </c>
      <c r="C395" s="1851" t="s">
        <v>2544</v>
      </c>
      <c r="D395" s="1851" t="s">
        <v>2545</v>
      </c>
      <c r="E395" s="1851" t="s">
        <v>2546</v>
      </c>
      <c r="F395" s="1851" t="s">
        <v>2512</v>
      </c>
      <c r="G395" s="1851" t="s">
        <v>28</v>
      </c>
      <c r="H395" s="1851" t="s">
        <v>28</v>
      </c>
      <c r="I395" s="1851" t="s">
        <v>939</v>
      </c>
    </row>
    <row customHeight="1" ht="11.25">
      <c r="A396" s="1851" t="s">
        <v>2283</v>
      </c>
      <c r="B396" s="1851" t="s">
        <v>16</v>
      </c>
      <c r="C396" s="1851" t="s">
        <v>2914</v>
      </c>
      <c r="D396" s="1851" t="s">
        <v>2915</v>
      </c>
      <c r="E396" s="1851" t="s">
        <v>2916</v>
      </c>
      <c r="F396" s="1851" t="s">
        <v>2466</v>
      </c>
      <c r="G396" s="1851" t="s">
        <v>28</v>
      </c>
      <c r="H396" s="1851" t="s">
        <v>28</v>
      </c>
      <c r="I396" s="1851" t="s">
        <v>939</v>
      </c>
    </row>
    <row customHeight="1" ht="11.25">
      <c r="A397" s="1851" t="s">
        <v>2283</v>
      </c>
      <c r="B397" s="1851" t="s">
        <v>16</v>
      </c>
      <c r="C397" s="1851" t="s">
        <v>2557</v>
      </c>
      <c r="D397" s="1851" t="s">
        <v>2558</v>
      </c>
      <c r="E397" s="1851" t="s">
        <v>2559</v>
      </c>
      <c r="F397" s="1851" t="s">
        <v>2327</v>
      </c>
      <c r="G397" s="1851" t="s">
        <v>28</v>
      </c>
      <c r="H397" s="1851" t="s">
        <v>28</v>
      </c>
      <c r="I397" s="1851" t="s">
        <v>939</v>
      </c>
    </row>
    <row customHeight="1" ht="11.25">
      <c r="A398" s="1851" t="s">
        <v>2283</v>
      </c>
      <c r="B398" s="1851" t="s">
        <v>16</v>
      </c>
      <c r="C398" s="1851" t="s">
        <v>2575</v>
      </c>
      <c r="D398" s="1851" t="s">
        <v>2576</v>
      </c>
      <c r="E398" s="1851" t="s">
        <v>2577</v>
      </c>
      <c r="F398" s="1851" t="s">
        <v>2487</v>
      </c>
      <c r="G398" s="1851" t="s">
        <v>2578</v>
      </c>
      <c r="H398" s="1851" t="s">
        <v>28</v>
      </c>
      <c r="I398" s="1851" t="s">
        <v>939</v>
      </c>
    </row>
    <row customHeight="1" ht="11.25">
      <c r="A399" s="1851" t="s">
        <v>2283</v>
      </c>
      <c r="B399" s="1851" t="s">
        <v>16</v>
      </c>
      <c r="C399" s="1851" t="s">
        <v>2917</v>
      </c>
      <c r="D399" s="1851" t="s">
        <v>2918</v>
      </c>
      <c r="E399" s="1851" t="s">
        <v>2919</v>
      </c>
      <c r="F399" s="1851" t="s">
        <v>2473</v>
      </c>
      <c r="G399" s="1851" t="s">
        <v>28</v>
      </c>
      <c r="H399" s="1851" t="s">
        <v>28</v>
      </c>
      <c r="I399" s="1851" t="s">
        <v>939</v>
      </c>
    </row>
    <row customHeight="1" ht="11.25">
      <c r="A400" s="1851" t="s">
        <v>2283</v>
      </c>
      <c r="B400" s="1851" t="s">
        <v>16</v>
      </c>
      <c r="C400" s="1851" t="s">
        <v>2920</v>
      </c>
      <c r="D400" s="1851" t="s">
        <v>2921</v>
      </c>
      <c r="E400" s="1851" t="s">
        <v>2922</v>
      </c>
      <c r="F400" s="1851" t="s">
        <v>2422</v>
      </c>
      <c r="G400" s="1851" t="s">
        <v>28</v>
      </c>
      <c r="H400" s="1851" t="s">
        <v>28</v>
      </c>
      <c r="I400" s="1851" t="s">
        <v>939</v>
      </c>
    </row>
    <row customHeight="1" ht="11.25">
      <c r="A401" s="1851" t="s">
        <v>2283</v>
      </c>
      <c r="B401" s="1851" t="s">
        <v>16</v>
      </c>
      <c r="C401" s="1851" t="s">
        <v>2923</v>
      </c>
      <c r="D401" s="1851" t="s">
        <v>2924</v>
      </c>
      <c r="E401" s="1851" t="s">
        <v>2925</v>
      </c>
      <c r="F401" s="1851" t="s">
        <v>2926</v>
      </c>
      <c r="G401" s="1851" t="s">
        <v>28</v>
      </c>
      <c r="H401" s="1851" t="s">
        <v>28</v>
      </c>
      <c r="I401" s="1851" t="s">
        <v>939</v>
      </c>
    </row>
    <row customHeight="1" ht="11.25">
      <c r="A402" s="1851" t="s">
        <v>2283</v>
      </c>
      <c r="B402" s="1851" t="s">
        <v>16</v>
      </c>
      <c r="C402" s="1851" t="s">
        <v>2927</v>
      </c>
      <c r="D402" s="1851" t="s">
        <v>2928</v>
      </c>
      <c r="E402" s="1851" t="s">
        <v>2929</v>
      </c>
      <c r="F402" s="1851" t="s">
        <v>2487</v>
      </c>
      <c r="G402" s="1851" t="s">
        <v>28</v>
      </c>
      <c r="H402" s="1851" t="s">
        <v>28</v>
      </c>
      <c r="I402" s="1851" t="s">
        <v>939</v>
      </c>
    </row>
    <row customHeight="1" ht="11.25">
      <c r="A403" s="1851" t="s">
        <v>2283</v>
      </c>
      <c r="B403" s="1851" t="s">
        <v>16</v>
      </c>
      <c r="C403" s="1851" t="s">
        <v>2930</v>
      </c>
      <c r="D403" s="1851" t="s">
        <v>2931</v>
      </c>
      <c r="E403" s="1851" t="s">
        <v>2932</v>
      </c>
      <c r="F403" s="1851" t="s">
        <v>2315</v>
      </c>
      <c r="G403" s="1851" t="s">
        <v>28</v>
      </c>
      <c r="H403" s="1851" t="s">
        <v>28</v>
      </c>
      <c r="I403" s="1851" t="s">
        <v>939</v>
      </c>
    </row>
    <row customHeight="1" ht="11.25">
      <c r="A404" s="1851" t="s">
        <v>2283</v>
      </c>
      <c r="B404" s="1851" t="s">
        <v>16</v>
      </c>
      <c r="C404" s="1851" t="s">
        <v>2594</v>
      </c>
      <c r="D404" s="1851" t="s">
        <v>2595</v>
      </c>
      <c r="E404" s="1851" t="s">
        <v>2596</v>
      </c>
      <c r="F404" s="1851" t="s">
        <v>2466</v>
      </c>
      <c r="G404" s="1851" t="s">
        <v>2349</v>
      </c>
      <c r="H404" s="1851" t="s">
        <v>28</v>
      </c>
      <c r="I404" s="1851" t="s">
        <v>939</v>
      </c>
    </row>
    <row customHeight="1" ht="11.25">
      <c r="A405" s="1851" t="s">
        <v>2283</v>
      </c>
      <c r="B405" s="1851" t="s">
        <v>16</v>
      </c>
      <c r="C405" s="1851" t="s">
        <v>3055</v>
      </c>
      <c r="D405" s="1851" t="s">
        <v>3056</v>
      </c>
      <c r="E405" s="1851" t="s">
        <v>3057</v>
      </c>
      <c r="F405" s="1851" t="s">
        <v>2600</v>
      </c>
      <c r="G405" s="1851" t="s">
        <v>3058</v>
      </c>
      <c r="H405" s="1851" t="s">
        <v>28</v>
      </c>
      <c r="I405" s="1851" t="s">
        <v>939</v>
      </c>
    </row>
    <row customHeight="1" ht="11.25">
      <c r="A406" s="1851" t="s">
        <v>2283</v>
      </c>
      <c r="B406" s="1851" t="s">
        <v>16</v>
      </c>
      <c r="C406" s="1851" t="s">
        <v>2933</v>
      </c>
      <c r="D406" s="1851" t="s">
        <v>2934</v>
      </c>
      <c r="E406" s="1851" t="s">
        <v>2935</v>
      </c>
      <c r="F406" s="1851" t="s">
        <v>2466</v>
      </c>
      <c r="G406" s="1851" t="s">
        <v>28</v>
      </c>
      <c r="H406" s="1851" t="s">
        <v>28</v>
      </c>
      <c r="I406" s="1851" t="s">
        <v>939</v>
      </c>
    </row>
    <row customHeight="1" ht="11.25">
      <c r="A407" s="1851" t="s">
        <v>2283</v>
      </c>
      <c r="B407" s="1851" t="s">
        <v>16</v>
      </c>
      <c r="C407" s="1851" t="s">
        <v>2618</v>
      </c>
      <c r="D407" s="1851" t="s">
        <v>2619</v>
      </c>
      <c r="E407" s="1851" t="s">
        <v>2620</v>
      </c>
      <c r="F407" s="1851" t="s">
        <v>2621</v>
      </c>
      <c r="G407" s="1851" t="s">
        <v>28</v>
      </c>
      <c r="H407" s="1851" t="s">
        <v>28</v>
      </c>
      <c r="I407" s="1851" t="s">
        <v>939</v>
      </c>
    </row>
    <row customHeight="1" ht="11.25">
      <c r="A408" s="1851" t="s">
        <v>2283</v>
      </c>
      <c r="B408" s="1851" t="s">
        <v>16</v>
      </c>
      <c r="C408" s="1851" t="s">
        <v>2939</v>
      </c>
      <c r="D408" s="1851" t="s">
        <v>2940</v>
      </c>
      <c r="E408" s="1851" t="s">
        <v>2941</v>
      </c>
      <c r="F408" s="1851" t="s">
        <v>2315</v>
      </c>
      <c r="G408" s="1851" t="s">
        <v>28</v>
      </c>
      <c r="H408" s="1851" t="s">
        <v>28</v>
      </c>
      <c r="I408" s="1851" t="s">
        <v>939</v>
      </c>
    </row>
    <row customHeight="1" ht="11.25">
      <c r="A409" s="1851" t="s">
        <v>2283</v>
      </c>
      <c r="B409" s="1851" t="s">
        <v>16</v>
      </c>
      <c r="C409" s="1851" t="s">
        <v>2942</v>
      </c>
      <c r="D409" s="1851" t="s">
        <v>2943</v>
      </c>
      <c r="E409" s="1851" t="s">
        <v>2944</v>
      </c>
      <c r="F409" s="1851" t="s">
        <v>2512</v>
      </c>
      <c r="G409" s="1851" t="s">
        <v>28</v>
      </c>
      <c r="H409" s="1851" t="s">
        <v>28</v>
      </c>
      <c r="I409" s="1851" t="s">
        <v>939</v>
      </c>
    </row>
    <row customHeight="1" ht="11.25">
      <c r="A410" s="1851" t="s">
        <v>2283</v>
      </c>
      <c r="B410" s="1851" t="s">
        <v>16</v>
      </c>
      <c r="C410" s="1851" t="s">
        <v>2951</v>
      </c>
      <c r="D410" s="1851" t="s">
        <v>2952</v>
      </c>
      <c r="E410" s="1851" t="s">
        <v>2953</v>
      </c>
      <c r="F410" s="1851" t="s">
        <v>2393</v>
      </c>
      <c r="G410" s="1851" t="s">
        <v>28</v>
      </c>
      <c r="H410" s="1851" t="s">
        <v>28</v>
      </c>
      <c r="I410" s="1851" t="s">
        <v>939</v>
      </c>
    </row>
    <row customHeight="1" ht="11.25">
      <c r="A411" s="1851" t="s">
        <v>2283</v>
      </c>
      <c r="B411" s="1851" t="s">
        <v>16</v>
      </c>
      <c r="C411" s="1851" t="s">
        <v>2954</v>
      </c>
      <c r="D411" s="1851" t="s">
        <v>2955</v>
      </c>
      <c r="E411" s="1851" t="s">
        <v>2956</v>
      </c>
      <c r="F411" s="1851" t="s">
        <v>2286</v>
      </c>
      <c r="G411" s="1851" t="s">
        <v>28</v>
      </c>
      <c r="H411" s="1851" t="s">
        <v>28</v>
      </c>
      <c r="I411" s="1851" t="s">
        <v>939</v>
      </c>
    </row>
    <row customHeight="1" ht="11.25">
      <c r="A412" s="1851" t="s">
        <v>2283</v>
      </c>
      <c r="B412" s="1851" t="s">
        <v>16</v>
      </c>
      <c r="C412" s="1851" t="s">
        <v>2960</v>
      </c>
      <c r="D412" s="1851" t="s">
        <v>2961</v>
      </c>
      <c r="E412" s="1851" t="s">
        <v>2962</v>
      </c>
      <c r="F412" s="1851" t="s">
        <v>2339</v>
      </c>
      <c r="G412" s="1851" t="s">
        <v>2963</v>
      </c>
      <c r="H412" s="1851" t="s">
        <v>28</v>
      </c>
      <c r="I412" s="1851" t="s">
        <v>939</v>
      </c>
    </row>
    <row customHeight="1" ht="11.25">
      <c r="A413" s="1851" t="s">
        <v>2283</v>
      </c>
      <c r="B413" s="1851" t="s">
        <v>16</v>
      </c>
      <c r="C413" s="1851" t="s">
        <v>2964</v>
      </c>
      <c r="D413" s="1851" t="s">
        <v>2965</v>
      </c>
      <c r="E413" s="1851" t="s">
        <v>2285</v>
      </c>
      <c r="F413" s="1851" t="s">
        <v>2286</v>
      </c>
      <c r="G413" s="1851" t="s">
        <v>28</v>
      </c>
      <c r="H413" s="1851" t="s">
        <v>28</v>
      </c>
      <c r="I413" s="1851" t="s">
        <v>939</v>
      </c>
    </row>
    <row customHeight="1" ht="11.25">
      <c r="A414" s="1851" t="s">
        <v>2283</v>
      </c>
      <c r="B414" s="1851" t="s">
        <v>16</v>
      </c>
      <c r="C414" s="1851" t="s">
        <v>2966</v>
      </c>
      <c r="D414" s="1851" t="s">
        <v>2967</v>
      </c>
      <c r="E414" s="1851" t="s">
        <v>2968</v>
      </c>
      <c r="F414" s="1851" t="s">
        <v>2290</v>
      </c>
      <c r="G414" s="1851" t="s">
        <v>28</v>
      </c>
      <c r="H414" s="1851" t="s">
        <v>28</v>
      </c>
      <c r="I414" s="1851" t="s">
        <v>939</v>
      </c>
    </row>
    <row customHeight="1" ht="11.25">
      <c r="A415" s="1851" t="s">
        <v>2283</v>
      </c>
      <c r="B415" s="1851" t="s">
        <v>16</v>
      </c>
      <c r="C415" s="1851" t="s">
        <v>2969</v>
      </c>
      <c r="D415" s="1851" t="s">
        <v>2970</v>
      </c>
      <c r="E415" s="1851" t="s">
        <v>2971</v>
      </c>
      <c r="F415" s="1851" t="s">
        <v>2290</v>
      </c>
      <c r="G415" s="1851" t="s">
        <v>28</v>
      </c>
      <c r="H415" s="1851" t="s">
        <v>28</v>
      </c>
      <c r="I415" s="1851" t="s">
        <v>939</v>
      </c>
    </row>
    <row customHeight="1" ht="11.25">
      <c r="A416" s="1851" t="s">
        <v>2283</v>
      </c>
      <c r="B416" s="1851" t="s">
        <v>16</v>
      </c>
      <c r="C416" s="1851" t="s">
        <v>2625</v>
      </c>
      <c r="D416" s="1851" t="s">
        <v>2626</v>
      </c>
      <c r="E416" s="1851" t="s">
        <v>2627</v>
      </c>
      <c r="F416" s="1851" t="s">
        <v>2298</v>
      </c>
      <c r="G416" s="1851" t="s">
        <v>28</v>
      </c>
      <c r="H416" s="1851" t="s">
        <v>28</v>
      </c>
      <c r="I416" s="1851" t="s">
        <v>939</v>
      </c>
    </row>
    <row customHeight="1" ht="11.25">
      <c r="A417" s="1851" t="s">
        <v>2283</v>
      </c>
      <c r="B417" s="1851" t="s">
        <v>16</v>
      </c>
      <c r="C417" s="1851" t="s">
        <v>2636</v>
      </c>
      <c r="D417" s="1851" t="s">
        <v>2637</v>
      </c>
      <c r="E417" s="1851" t="s">
        <v>2638</v>
      </c>
      <c r="F417" s="1851" t="s">
        <v>2607</v>
      </c>
      <c r="G417" s="1851" t="s">
        <v>2639</v>
      </c>
      <c r="H417" s="1851" t="s">
        <v>28</v>
      </c>
      <c r="I417" s="1851" t="s">
        <v>939</v>
      </c>
    </row>
    <row customHeight="1" ht="11.25">
      <c r="A418" s="1851" t="s">
        <v>2283</v>
      </c>
      <c r="B418" s="1851" t="s">
        <v>16</v>
      </c>
      <c r="C418" s="1851" t="s">
        <v>2640</v>
      </c>
      <c r="D418" s="1851" t="s">
        <v>2641</v>
      </c>
      <c r="E418" s="1851" t="s">
        <v>2642</v>
      </c>
      <c r="F418" s="1851" t="s">
        <v>2339</v>
      </c>
      <c r="G418" s="1851" t="s">
        <v>2643</v>
      </c>
      <c r="H418" s="1851" t="s">
        <v>28</v>
      </c>
      <c r="I418" s="1851" t="s">
        <v>939</v>
      </c>
    </row>
    <row customHeight="1" ht="11.25">
      <c r="A419" s="1851" t="s">
        <v>2283</v>
      </c>
      <c r="B419" s="1851" t="s">
        <v>16</v>
      </c>
      <c r="C419" s="1851" t="s">
        <v>2978</v>
      </c>
      <c r="D419" s="1851" t="s">
        <v>2979</v>
      </c>
      <c r="E419" s="1851" t="s">
        <v>2980</v>
      </c>
      <c r="F419" s="1851" t="s">
        <v>2981</v>
      </c>
      <c r="G419" s="1851" t="s">
        <v>28</v>
      </c>
      <c r="H419" s="1851" t="s">
        <v>28</v>
      </c>
      <c r="I419" s="1851" t="s">
        <v>939</v>
      </c>
    </row>
    <row customHeight="1" ht="11.25">
      <c r="A420" s="1851" t="s">
        <v>2283</v>
      </c>
      <c r="B420" s="1851" t="s">
        <v>16</v>
      </c>
      <c r="C420" s="1851" t="s">
        <v>2982</v>
      </c>
      <c r="D420" s="1851" t="s">
        <v>2983</v>
      </c>
      <c r="E420" s="1851" t="s">
        <v>2984</v>
      </c>
      <c r="F420" s="1851" t="s">
        <v>2422</v>
      </c>
      <c r="G420" s="1851" t="s">
        <v>28</v>
      </c>
      <c r="H420" s="1851" t="s">
        <v>28</v>
      </c>
      <c r="I420" s="1851" t="s">
        <v>939</v>
      </c>
    </row>
    <row customHeight="1" ht="11.25">
      <c r="A421" s="1851" t="s">
        <v>2283</v>
      </c>
      <c r="B421" s="1851" t="s">
        <v>16</v>
      </c>
      <c r="C421" s="1851" t="s">
        <v>2654</v>
      </c>
      <c r="D421" s="1851" t="s">
        <v>2655</v>
      </c>
      <c r="E421" s="1851" t="s">
        <v>2656</v>
      </c>
      <c r="F421" s="1851" t="s">
        <v>2487</v>
      </c>
      <c r="G421" s="1851" t="s">
        <v>28</v>
      </c>
      <c r="H421" s="1851" t="s">
        <v>28</v>
      </c>
      <c r="I421" s="1851" t="s">
        <v>939</v>
      </c>
    </row>
    <row customHeight="1" ht="11.25">
      <c r="A422" s="1851" t="s">
        <v>2283</v>
      </c>
      <c r="B422" s="1851" t="s">
        <v>16</v>
      </c>
      <c r="C422" s="1851" t="s">
        <v>2657</v>
      </c>
      <c r="D422" s="1851" t="s">
        <v>2658</v>
      </c>
      <c r="E422" s="1851" t="s">
        <v>2659</v>
      </c>
      <c r="F422" s="1851" t="s">
        <v>2660</v>
      </c>
      <c r="G422" s="1851" t="s">
        <v>2661</v>
      </c>
      <c r="H422" s="1851" t="s">
        <v>28</v>
      </c>
      <c r="I422" s="1851" t="s">
        <v>939</v>
      </c>
    </row>
    <row customHeight="1" ht="11.25">
      <c r="A423" s="1851" t="s">
        <v>2283</v>
      </c>
      <c r="B423" s="1851" t="s">
        <v>16</v>
      </c>
      <c r="C423" s="1851" t="s">
        <v>2662</v>
      </c>
      <c r="D423" s="1851" t="s">
        <v>2663</v>
      </c>
      <c r="E423" s="1851" t="s">
        <v>2664</v>
      </c>
      <c r="F423" s="1851" t="s">
        <v>2487</v>
      </c>
      <c r="G423" s="1851" t="s">
        <v>28</v>
      </c>
      <c r="H423" s="1851" t="s">
        <v>28</v>
      </c>
      <c r="I423" s="1851" t="s">
        <v>939</v>
      </c>
    </row>
    <row customHeight="1" ht="11.25">
      <c r="A424" s="1851" t="s">
        <v>2283</v>
      </c>
      <c r="B424" s="1851" t="s">
        <v>16</v>
      </c>
      <c r="C424" s="1851" t="s">
        <v>2668</v>
      </c>
      <c r="D424" s="1851" t="s">
        <v>2669</v>
      </c>
      <c r="E424" s="1851" t="s">
        <v>2670</v>
      </c>
      <c r="F424" s="1851" t="s">
        <v>2422</v>
      </c>
      <c r="G424" s="1851" t="s">
        <v>28</v>
      </c>
      <c r="H424" s="1851" t="s">
        <v>28</v>
      </c>
      <c r="I424" s="1851" t="s">
        <v>939</v>
      </c>
    </row>
    <row customHeight="1" ht="11.25">
      <c r="A425" s="1851" t="s">
        <v>2283</v>
      </c>
      <c r="B425" s="1851" t="s">
        <v>16</v>
      </c>
      <c r="C425" s="1851" t="s">
        <v>2985</v>
      </c>
      <c r="D425" s="1851" t="s">
        <v>2986</v>
      </c>
      <c r="E425" s="1851" t="s">
        <v>2987</v>
      </c>
      <c r="F425" s="1851" t="s">
        <v>2801</v>
      </c>
      <c r="G425" s="1851" t="s">
        <v>28</v>
      </c>
      <c r="H425" s="1851" t="s">
        <v>28</v>
      </c>
      <c r="I425" s="1851" t="s">
        <v>939</v>
      </c>
    </row>
    <row customHeight="1" ht="11.25">
      <c r="A426" s="1851" t="s">
        <v>2283</v>
      </c>
      <c r="B426" s="1851" t="s">
        <v>16</v>
      </c>
      <c r="C426" s="1851" t="s">
        <v>2988</v>
      </c>
      <c r="D426" s="1851" t="s">
        <v>2989</v>
      </c>
      <c r="E426" s="1851" t="s">
        <v>2990</v>
      </c>
      <c r="F426" s="1851" t="s">
        <v>2801</v>
      </c>
      <c r="G426" s="1851" t="s">
        <v>28</v>
      </c>
      <c r="H426" s="1851" t="s">
        <v>28</v>
      </c>
      <c r="I426" s="1851" t="s">
        <v>939</v>
      </c>
    </row>
    <row customHeight="1" ht="11.25">
      <c r="A427" s="1851" t="s">
        <v>2283</v>
      </c>
      <c r="B427" s="1851" t="s">
        <v>16</v>
      </c>
      <c r="C427" s="1851" t="s">
        <v>2991</v>
      </c>
      <c r="D427" s="1851" t="s">
        <v>2992</v>
      </c>
      <c r="E427" s="1851" t="s">
        <v>2993</v>
      </c>
      <c r="F427" s="1851" t="s">
        <v>2315</v>
      </c>
      <c r="G427" s="1851" t="s">
        <v>28</v>
      </c>
      <c r="H427" s="1851" t="s">
        <v>28</v>
      </c>
      <c r="I427" s="1851" t="s">
        <v>939</v>
      </c>
    </row>
    <row customHeight="1" ht="11.25">
      <c r="A428" s="1851" t="s">
        <v>2283</v>
      </c>
      <c r="B428" s="1851" t="s">
        <v>16</v>
      </c>
      <c r="C428" s="1851" t="s">
        <v>2671</v>
      </c>
      <c r="D428" s="1851" t="s">
        <v>2672</v>
      </c>
      <c r="E428" s="1851" t="s">
        <v>2673</v>
      </c>
      <c r="F428" s="1851" t="s">
        <v>2294</v>
      </c>
      <c r="G428" s="1851" t="s">
        <v>28</v>
      </c>
      <c r="H428" s="1851" t="s">
        <v>28</v>
      </c>
      <c r="I428" s="1851" t="s">
        <v>939</v>
      </c>
    </row>
    <row customHeight="1" ht="11.25">
      <c r="A429" s="1851" t="s">
        <v>2283</v>
      </c>
      <c r="B429" s="1851" t="s">
        <v>16</v>
      </c>
      <c r="C429" s="1851" t="s">
        <v>2674</v>
      </c>
      <c r="D429" s="1851" t="s">
        <v>2675</v>
      </c>
      <c r="E429" s="1851" t="s">
        <v>2676</v>
      </c>
      <c r="F429" s="1851" t="s">
        <v>2677</v>
      </c>
      <c r="G429" s="1851" t="s">
        <v>28</v>
      </c>
      <c r="H429" s="1851" t="s">
        <v>28</v>
      </c>
      <c r="I429" s="1851" t="s">
        <v>939</v>
      </c>
    </row>
    <row customHeight="1" ht="11.25">
      <c r="A430" s="1851" t="s">
        <v>2283</v>
      </c>
      <c r="B430" s="1851" t="s">
        <v>16</v>
      </c>
      <c r="C430" s="1851" t="s">
        <v>3003</v>
      </c>
      <c r="D430" s="1851" t="s">
        <v>3004</v>
      </c>
      <c r="E430" s="1851" t="s">
        <v>3005</v>
      </c>
      <c r="F430" s="1851" t="s">
        <v>2857</v>
      </c>
      <c r="G430" s="1851" t="s">
        <v>3006</v>
      </c>
      <c r="H430" s="1851" t="s">
        <v>28</v>
      </c>
      <c r="I430" s="1851" t="s">
        <v>939</v>
      </c>
    </row>
    <row customHeight="1" ht="11.25">
      <c r="A431" s="1851" t="s">
        <v>2283</v>
      </c>
      <c r="B431" s="1851" t="s">
        <v>16</v>
      </c>
      <c r="C431" s="1851" t="s">
        <v>3007</v>
      </c>
      <c r="D431" s="1851" t="s">
        <v>3008</v>
      </c>
      <c r="E431" s="1851" t="s">
        <v>3009</v>
      </c>
      <c r="F431" s="1851" t="s">
        <v>2393</v>
      </c>
      <c r="G431" s="1851" t="s">
        <v>28</v>
      </c>
      <c r="H431" s="1851" t="s">
        <v>28</v>
      </c>
      <c r="I431" s="1851" t="s">
        <v>939</v>
      </c>
    </row>
    <row customHeight="1" ht="11.25">
      <c r="A432" s="1851" t="s">
        <v>2283</v>
      </c>
      <c r="B432" s="1851" t="s">
        <v>16</v>
      </c>
      <c r="C432" s="1851" t="s">
        <v>3010</v>
      </c>
      <c r="D432" s="1851" t="s">
        <v>3011</v>
      </c>
      <c r="E432" s="1851" t="s">
        <v>3012</v>
      </c>
      <c r="F432" s="1851" t="s">
        <v>2414</v>
      </c>
      <c r="G432" s="1851" t="s">
        <v>28</v>
      </c>
      <c r="H432" s="1851" t="s">
        <v>28</v>
      </c>
      <c r="I432" s="1851" t="s">
        <v>939</v>
      </c>
    </row>
    <row customHeight="1" ht="11.25">
      <c r="A433" s="1851" t="s">
        <v>2283</v>
      </c>
      <c r="B433" s="1851" t="s">
        <v>16</v>
      </c>
      <c r="C433" s="1851" t="s">
        <v>3019</v>
      </c>
      <c r="D433" s="1851" t="s">
        <v>3020</v>
      </c>
      <c r="E433" s="1851" t="s">
        <v>3021</v>
      </c>
      <c r="F433" s="1851" t="s">
        <v>2801</v>
      </c>
      <c r="G433" s="1851" t="s">
        <v>3022</v>
      </c>
      <c r="H433" s="1851" t="s">
        <v>28</v>
      </c>
      <c r="I433" s="1851" t="s">
        <v>939</v>
      </c>
    </row>
    <row customHeight="1" ht="11.25">
      <c r="A434" s="1851" t="s">
        <v>2283</v>
      </c>
      <c r="B434" s="1851" t="s">
        <v>16</v>
      </c>
      <c r="C434" s="1851" t="s">
        <v>3023</v>
      </c>
      <c r="D434" s="1851" t="s">
        <v>3024</v>
      </c>
      <c r="E434" s="1851" t="s">
        <v>3025</v>
      </c>
      <c r="F434" s="1851" t="s">
        <v>2348</v>
      </c>
      <c r="G434" s="1851" t="s">
        <v>28</v>
      </c>
      <c r="H434" s="1851" t="s">
        <v>28</v>
      </c>
      <c r="I434" s="1851" t="s">
        <v>939</v>
      </c>
    </row>
    <row customHeight="1" ht="11.25">
      <c r="A435" s="1851" t="s">
        <v>2283</v>
      </c>
      <c r="B435" s="1851" t="s">
        <v>16</v>
      </c>
      <c r="C435" s="1851" t="s">
        <v>2704</v>
      </c>
      <c r="D435" s="1851" t="s">
        <v>2705</v>
      </c>
      <c r="E435" s="1851" t="s">
        <v>2706</v>
      </c>
      <c r="F435" s="1851" t="s">
        <v>2315</v>
      </c>
      <c r="G435" s="1851" t="s">
        <v>28</v>
      </c>
      <c r="H435" s="1851" t="s">
        <v>28</v>
      </c>
      <c r="I435" s="1851" t="s">
        <v>939</v>
      </c>
    </row>
    <row customHeight="1" ht="11.25">
      <c r="A436" s="1851" t="s">
        <v>2283</v>
      </c>
      <c r="B436" s="1851" t="s">
        <v>16</v>
      </c>
      <c r="C436" s="1851" t="s">
        <v>28</v>
      </c>
      <c r="D436" s="1851" t="s">
        <v>2284</v>
      </c>
      <c r="E436" s="1851" t="s">
        <v>2285</v>
      </c>
      <c r="F436" s="1851" t="s">
        <v>2286</v>
      </c>
      <c r="G436" s="1851" t="s">
        <v>28</v>
      </c>
      <c r="H436" s="1851" t="s">
        <v>28</v>
      </c>
      <c r="I436" s="1851" t="s">
        <v>1654</v>
      </c>
    </row>
    <row customHeight="1" ht="11.25">
      <c r="A437" s="1851" t="s">
        <v>2283</v>
      </c>
      <c r="B437" s="1851" t="s">
        <v>16</v>
      </c>
      <c r="C437" s="1851" t="s">
        <v>3059</v>
      </c>
      <c r="D437" s="1851" t="s">
        <v>3060</v>
      </c>
      <c r="E437" s="1851" t="s">
        <v>3061</v>
      </c>
      <c r="F437" s="1851" t="s">
        <v>608</v>
      </c>
      <c r="G437" s="1851" t="s">
        <v>3062</v>
      </c>
      <c r="H437" s="1851" t="s">
        <v>28</v>
      </c>
      <c r="I437" s="1851" t="s">
        <v>1654</v>
      </c>
    </row>
    <row customHeight="1" ht="11.25">
      <c r="A438" s="1851" t="s">
        <v>2283</v>
      </c>
      <c r="B438" s="1851" t="s">
        <v>16</v>
      </c>
      <c r="C438" s="1851" t="s">
        <v>2429</v>
      </c>
      <c r="D438" s="1851" t="s">
        <v>2430</v>
      </c>
      <c r="E438" s="1851" t="s">
        <v>2431</v>
      </c>
      <c r="F438" s="1851" t="s">
        <v>54</v>
      </c>
      <c r="G438" s="1851" t="s">
        <v>28</v>
      </c>
      <c r="H438" s="1851" t="s">
        <v>28</v>
      </c>
      <c r="I438" s="1851" t="s">
        <v>1654</v>
      </c>
    </row>
    <row customHeight="1" ht="11.25">
      <c r="A439" s="1851" t="s">
        <v>2283</v>
      </c>
      <c r="B439" s="1851" t="s">
        <v>16</v>
      </c>
      <c r="C439" s="1851" t="s">
        <v>2775</v>
      </c>
      <c r="D439" s="1851" t="s">
        <v>2776</v>
      </c>
      <c r="E439" s="1851" t="s">
        <v>2777</v>
      </c>
      <c r="F439" s="1851" t="s">
        <v>2512</v>
      </c>
      <c r="G439" s="1851" t="s">
        <v>28</v>
      </c>
      <c r="H439" s="1851" t="s">
        <v>28</v>
      </c>
      <c r="I439" s="1851" t="s">
        <v>1654</v>
      </c>
    </row>
    <row customHeight="1" ht="11.25">
      <c r="A440" s="1851" t="s">
        <v>2283</v>
      </c>
      <c r="B440" s="1851" t="s">
        <v>16</v>
      </c>
      <c r="C440" s="1851" t="s">
        <v>3063</v>
      </c>
      <c r="D440" s="1851" t="s">
        <v>3064</v>
      </c>
      <c r="E440" s="1851" t="s">
        <v>3065</v>
      </c>
      <c r="F440" s="1851" t="s">
        <v>2525</v>
      </c>
      <c r="G440" s="1851" t="s">
        <v>3066</v>
      </c>
      <c r="H440" s="1851" t="s">
        <v>28</v>
      </c>
      <c r="I440" s="1851" t="s">
        <v>1654</v>
      </c>
    </row>
    <row customHeight="1" ht="11.25">
      <c r="A441" s="1851" t="s">
        <v>2283</v>
      </c>
      <c r="B441" s="1851" t="s">
        <v>16</v>
      </c>
      <c r="C441" s="1851" t="s">
        <v>2440</v>
      </c>
      <c r="D441" s="1851" t="s">
        <v>2441</v>
      </c>
      <c r="E441" s="1851" t="s">
        <v>2442</v>
      </c>
      <c r="F441" s="1851" t="s">
        <v>2315</v>
      </c>
      <c r="G441" s="1851" t="s">
        <v>28</v>
      </c>
      <c r="H441" s="1851" t="s">
        <v>28</v>
      </c>
      <c r="I441" s="1851" t="s">
        <v>1654</v>
      </c>
    </row>
    <row customHeight="1" ht="11.25">
      <c r="A442" s="1851" t="s">
        <v>2283</v>
      </c>
      <c r="B442" s="1851" t="s">
        <v>16</v>
      </c>
      <c r="C442" s="1851" t="s">
        <v>3067</v>
      </c>
      <c r="D442" s="1851" t="s">
        <v>3068</v>
      </c>
      <c r="E442" s="1851" t="s">
        <v>3069</v>
      </c>
      <c r="F442" s="1851" t="s">
        <v>2414</v>
      </c>
      <c r="G442" s="1851" t="s">
        <v>28</v>
      </c>
      <c r="H442" s="1851" t="s">
        <v>28</v>
      </c>
      <c r="I442" s="1851" t="s">
        <v>1654</v>
      </c>
    </row>
    <row customHeight="1" ht="11.25">
      <c r="A443" s="1851" t="s">
        <v>2283</v>
      </c>
      <c r="B443" s="1851" t="s">
        <v>16</v>
      </c>
      <c r="C443" s="1851" t="s">
        <v>2447</v>
      </c>
      <c r="D443" s="1851" t="s">
        <v>2448</v>
      </c>
      <c r="E443" s="1851" t="s">
        <v>2449</v>
      </c>
      <c r="F443" s="1851" t="s">
        <v>2323</v>
      </c>
      <c r="G443" s="1851" t="s">
        <v>28</v>
      </c>
      <c r="H443" s="1851" t="s">
        <v>28</v>
      </c>
      <c r="I443" s="1851" t="s">
        <v>1654</v>
      </c>
    </row>
    <row customHeight="1" ht="11.25">
      <c r="A444" s="1851" t="s">
        <v>2283</v>
      </c>
      <c r="B444" s="1851" t="s">
        <v>16</v>
      </c>
      <c r="C444" s="1851" t="s">
        <v>2450</v>
      </c>
      <c r="D444" s="1851" t="s">
        <v>2451</v>
      </c>
      <c r="E444" s="1851" t="s">
        <v>2452</v>
      </c>
      <c r="F444" s="1851" t="s">
        <v>2323</v>
      </c>
      <c r="G444" s="1851" t="s">
        <v>28</v>
      </c>
      <c r="H444" s="1851" t="s">
        <v>28</v>
      </c>
      <c r="I444" s="1851" t="s">
        <v>1654</v>
      </c>
    </row>
    <row customHeight="1" ht="11.25">
      <c r="A445" s="1851" t="s">
        <v>2283</v>
      </c>
      <c r="B445" s="1851" t="s">
        <v>16</v>
      </c>
      <c r="C445" s="1851" t="s">
        <v>3070</v>
      </c>
      <c r="D445" s="1851" t="s">
        <v>3071</v>
      </c>
      <c r="E445" s="1851" t="s">
        <v>3072</v>
      </c>
      <c r="F445" s="1851" t="s">
        <v>2456</v>
      </c>
      <c r="G445" s="1851" t="s">
        <v>3073</v>
      </c>
      <c r="H445" s="1851" t="s">
        <v>28</v>
      </c>
      <c r="I445" s="1851" t="s">
        <v>1654</v>
      </c>
    </row>
    <row customHeight="1" ht="11.25">
      <c r="A446" s="1851" t="s">
        <v>2283</v>
      </c>
      <c r="B446" s="1851" t="s">
        <v>16</v>
      </c>
      <c r="C446" s="1851" t="s">
        <v>3074</v>
      </c>
      <c r="D446" s="1851" t="s">
        <v>3075</v>
      </c>
      <c r="E446" s="1851" t="s">
        <v>3076</v>
      </c>
      <c r="F446" s="1851" t="s">
        <v>2439</v>
      </c>
      <c r="G446" s="1851" t="s">
        <v>28</v>
      </c>
      <c r="H446" s="1851" t="s">
        <v>28</v>
      </c>
      <c r="I446" s="1851" t="s">
        <v>1654</v>
      </c>
    </row>
    <row customHeight="1" ht="11.25">
      <c r="A447" s="1851" t="s">
        <v>2283</v>
      </c>
      <c r="B447" s="1851" t="s">
        <v>16</v>
      </c>
      <c r="C447" s="1851" t="s">
        <v>3077</v>
      </c>
      <c r="D447" s="1851" t="s">
        <v>3078</v>
      </c>
      <c r="E447" s="1851" t="s">
        <v>3079</v>
      </c>
      <c r="F447" s="1851" t="s">
        <v>2327</v>
      </c>
      <c r="G447" s="1851" t="s">
        <v>28</v>
      </c>
      <c r="H447" s="1851" t="s">
        <v>28</v>
      </c>
      <c r="I447" s="1851" t="s">
        <v>1654</v>
      </c>
    </row>
    <row customHeight="1" ht="11.25">
      <c r="A448" s="1851" t="s">
        <v>2283</v>
      </c>
      <c r="B448" s="1851" t="s">
        <v>16</v>
      </c>
      <c r="C448" s="1851" t="s">
        <v>3080</v>
      </c>
      <c r="D448" s="1851" t="s">
        <v>3081</v>
      </c>
      <c r="E448" s="1851" t="s">
        <v>3082</v>
      </c>
      <c r="F448" s="1851" t="s">
        <v>2286</v>
      </c>
      <c r="G448" s="1851" t="s">
        <v>3083</v>
      </c>
      <c r="H448" s="1851" t="s">
        <v>28</v>
      </c>
      <c r="I448" s="1851" t="s">
        <v>1654</v>
      </c>
    </row>
    <row customHeight="1" ht="11.25">
      <c r="A449" s="1851" t="s">
        <v>2283</v>
      </c>
      <c r="B449" s="1851" t="s">
        <v>16</v>
      </c>
      <c r="C449" s="1851" t="s">
        <v>3084</v>
      </c>
      <c r="D449" s="1851" t="s">
        <v>3085</v>
      </c>
      <c r="E449" s="1851" t="s">
        <v>3086</v>
      </c>
      <c r="F449" s="1851" t="s">
        <v>2480</v>
      </c>
      <c r="G449" s="1851" t="s">
        <v>3087</v>
      </c>
      <c r="H449" s="1851" t="s">
        <v>28</v>
      </c>
      <c r="I449" s="1851" t="s">
        <v>1654</v>
      </c>
    </row>
    <row customHeight="1" ht="11.25">
      <c r="A450" s="1851" t="s">
        <v>2283</v>
      </c>
      <c r="B450" s="1851" t="s">
        <v>16</v>
      </c>
      <c r="C450" s="1851" t="s">
        <v>3088</v>
      </c>
      <c r="D450" s="1851" t="s">
        <v>3089</v>
      </c>
      <c r="E450" s="1851" t="s">
        <v>3090</v>
      </c>
      <c r="F450" s="1851" t="s">
        <v>2525</v>
      </c>
      <c r="G450" s="1851" t="s">
        <v>3091</v>
      </c>
      <c r="H450" s="1851" t="s">
        <v>28</v>
      </c>
      <c r="I450" s="1851" t="s">
        <v>1654</v>
      </c>
    </row>
    <row customHeight="1" ht="11.25">
      <c r="A451" s="1851" t="s">
        <v>2283</v>
      </c>
      <c r="B451" s="1851" t="s">
        <v>16</v>
      </c>
      <c r="C451" s="1851" t="s">
        <v>3092</v>
      </c>
      <c r="D451" s="1851" t="s">
        <v>3093</v>
      </c>
      <c r="E451" s="1851" t="s">
        <v>3094</v>
      </c>
      <c r="F451" s="1851" t="s">
        <v>2553</v>
      </c>
      <c r="G451" s="1851" t="s">
        <v>3095</v>
      </c>
      <c r="H451" s="1851" t="s">
        <v>28</v>
      </c>
      <c r="I451" s="1851" t="s">
        <v>1654</v>
      </c>
    </row>
    <row customHeight="1" ht="11.25">
      <c r="A452" s="1851" t="s">
        <v>2283</v>
      </c>
      <c r="B452" s="1851" t="s">
        <v>16</v>
      </c>
      <c r="C452" s="1851" t="s">
        <v>3096</v>
      </c>
      <c r="D452" s="1851" t="s">
        <v>3097</v>
      </c>
      <c r="E452" s="1851" t="s">
        <v>3098</v>
      </c>
      <c r="F452" s="1851" t="s">
        <v>2621</v>
      </c>
      <c r="G452" s="1851" t="s">
        <v>3099</v>
      </c>
      <c r="H452" s="1851" t="s">
        <v>28</v>
      </c>
      <c r="I452" s="1851" t="s">
        <v>1654</v>
      </c>
    </row>
    <row customHeight="1" ht="11.25">
      <c r="A453" s="1851" t="s">
        <v>2283</v>
      </c>
      <c r="B453" s="1851" t="s">
        <v>16</v>
      </c>
      <c r="C453" s="1851" t="s">
        <v>3100</v>
      </c>
      <c r="D453" s="1851" t="s">
        <v>3101</v>
      </c>
      <c r="E453" s="1851" t="s">
        <v>3102</v>
      </c>
      <c r="F453" s="1851" t="s">
        <v>2790</v>
      </c>
      <c r="G453" s="1851" t="s">
        <v>3103</v>
      </c>
      <c r="H453" s="1851" t="s">
        <v>28</v>
      </c>
      <c r="I453" s="1851" t="s">
        <v>1654</v>
      </c>
    </row>
    <row customHeight="1" ht="11.25">
      <c r="A454" s="1851" t="s">
        <v>2283</v>
      </c>
      <c r="B454" s="1851" t="s">
        <v>16</v>
      </c>
      <c r="C454" s="1851" t="s">
        <v>2888</v>
      </c>
      <c r="D454" s="1851" t="s">
        <v>2889</v>
      </c>
      <c r="E454" s="1851" t="s">
        <v>2890</v>
      </c>
      <c r="F454" s="1851" t="s">
        <v>2512</v>
      </c>
      <c r="G454" s="1851" t="s">
        <v>28</v>
      </c>
      <c r="H454" s="1851" t="s">
        <v>28</v>
      </c>
      <c r="I454" s="1851" t="s">
        <v>1654</v>
      </c>
    </row>
    <row customHeight="1" ht="11.25">
      <c r="A455" s="1851" t="s">
        <v>2283</v>
      </c>
      <c r="B455" s="1851" t="s">
        <v>16</v>
      </c>
      <c r="C455" s="1851" t="s">
        <v>3104</v>
      </c>
      <c r="D455" s="1851" t="s">
        <v>3105</v>
      </c>
      <c r="E455" s="1851" t="s">
        <v>3106</v>
      </c>
      <c r="F455" s="1851" t="s">
        <v>2703</v>
      </c>
      <c r="G455" s="1851" t="s">
        <v>3107</v>
      </c>
      <c r="H455" s="1851" t="s">
        <v>28</v>
      </c>
      <c r="I455" s="1851" t="s">
        <v>1654</v>
      </c>
    </row>
    <row customHeight="1" ht="11.25">
      <c r="A456" s="1851" t="s">
        <v>2283</v>
      </c>
      <c r="B456" s="1851" t="s">
        <v>16</v>
      </c>
      <c r="C456" s="1851" t="s">
        <v>3108</v>
      </c>
      <c r="D456" s="1851" t="s">
        <v>3109</v>
      </c>
      <c r="E456" s="1851" t="s">
        <v>3110</v>
      </c>
      <c r="F456" s="1851" t="s">
        <v>2348</v>
      </c>
      <c r="G456" s="1851" t="s">
        <v>28</v>
      </c>
      <c r="H456" s="1851" t="s">
        <v>28</v>
      </c>
      <c r="I456" s="1851" t="s">
        <v>1654</v>
      </c>
    </row>
    <row customHeight="1" ht="11.25">
      <c r="A457" s="1851" t="s">
        <v>2283</v>
      </c>
      <c r="B457" s="1851" t="s">
        <v>16</v>
      </c>
      <c r="C457" s="1851" t="s">
        <v>3111</v>
      </c>
      <c r="D457" s="1851" t="s">
        <v>3112</v>
      </c>
      <c r="E457" s="1851" t="s">
        <v>3113</v>
      </c>
      <c r="F457" s="1851" t="s">
        <v>2290</v>
      </c>
      <c r="G457" s="1851" t="s">
        <v>3114</v>
      </c>
      <c r="H457" s="1851" t="s">
        <v>28</v>
      </c>
      <c r="I457" s="1851" t="s">
        <v>1654</v>
      </c>
    </row>
    <row customHeight="1" ht="11.25">
      <c r="A458" s="1851" t="s">
        <v>2283</v>
      </c>
      <c r="B458" s="1851" t="s">
        <v>16</v>
      </c>
      <c r="C458" s="1851" t="s">
        <v>3115</v>
      </c>
      <c r="D458" s="1851" t="s">
        <v>3116</v>
      </c>
      <c r="E458" s="1851" t="s">
        <v>3117</v>
      </c>
      <c r="F458" s="1851" t="s">
        <v>2600</v>
      </c>
      <c r="G458" s="1851" t="s">
        <v>28</v>
      </c>
      <c r="H458" s="1851" t="s">
        <v>28</v>
      </c>
      <c r="I458" s="1851" t="s">
        <v>1654</v>
      </c>
    </row>
    <row customHeight="1" ht="11.25">
      <c r="A459" s="1851" t="s">
        <v>2283</v>
      </c>
      <c r="B459" s="1851" t="s">
        <v>16</v>
      </c>
      <c r="C459" s="1851" t="s">
        <v>3118</v>
      </c>
      <c r="D459" s="1851" t="s">
        <v>3119</v>
      </c>
      <c r="E459" s="1851" t="s">
        <v>3120</v>
      </c>
      <c r="F459" s="1851" t="s">
        <v>2439</v>
      </c>
      <c r="G459" s="1851" t="s">
        <v>3121</v>
      </c>
      <c r="H459" s="1851" t="s">
        <v>28</v>
      </c>
      <c r="I459" s="1851" t="s">
        <v>1654</v>
      </c>
    </row>
    <row customHeight="1" ht="11.25">
      <c r="A460" s="1851" t="s">
        <v>2283</v>
      </c>
      <c r="B460" s="1851" t="s">
        <v>16</v>
      </c>
      <c r="C460" s="1851" t="s">
        <v>3122</v>
      </c>
      <c r="D460" s="1851" t="s">
        <v>3123</v>
      </c>
      <c r="E460" s="1851" t="s">
        <v>3124</v>
      </c>
      <c r="F460" s="1851" t="s">
        <v>2542</v>
      </c>
      <c r="G460" s="1851" t="s">
        <v>28</v>
      </c>
      <c r="H460" s="1851" t="s">
        <v>28</v>
      </c>
      <c r="I460" s="1851" t="s">
        <v>1654</v>
      </c>
    </row>
    <row customHeight="1" ht="11.25">
      <c r="A461" s="1851" t="s">
        <v>2283</v>
      </c>
      <c r="B461" s="1851" t="s">
        <v>16</v>
      </c>
      <c r="C461" s="1851" t="s">
        <v>3125</v>
      </c>
      <c r="D461" s="1851" t="s">
        <v>3126</v>
      </c>
      <c r="E461" s="1851" t="s">
        <v>3127</v>
      </c>
      <c r="F461" s="1851" t="s">
        <v>2290</v>
      </c>
      <c r="G461" s="1851" t="s">
        <v>3128</v>
      </c>
      <c r="H461" s="1851" t="s">
        <v>28</v>
      </c>
      <c r="I461" s="1851" t="s">
        <v>1654</v>
      </c>
    </row>
    <row customHeight="1" ht="11.25">
      <c r="A462" s="1851" t="s">
        <v>2283</v>
      </c>
      <c r="B462" s="1851" t="s">
        <v>16</v>
      </c>
      <c r="C462" s="1851" t="s">
        <v>3129</v>
      </c>
      <c r="D462" s="1851" t="s">
        <v>3130</v>
      </c>
      <c r="E462" s="1851" t="s">
        <v>3131</v>
      </c>
      <c r="F462" s="1851" t="s">
        <v>2286</v>
      </c>
      <c r="G462" s="1851" t="s">
        <v>3132</v>
      </c>
      <c r="H462" s="1851" t="s">
        <v>28</v>
      </c>
      <c r="I462" s="1851" t="s">
        <v>1654</v>
      </c>
    </row>
    <row customHeight="1" ht="11.25">
      <c r="A463" s="1851" t="s">
        <v>2283</v>
      </c>
      <c r="B463" s="1851" t="s">
        <v>16</v>
      </c>
      <c r="C463" s="1851" t="s">
        <v>3133</v>
      </c>
      <c r="D463" s="1851" t="s">
        <v>3134</v>
      </c>
      <c r="E463" s="1851" t="s">
        <v>3135</v>
      </c>
      <c r="F463" s="1851" t="s">
        <v>2393</v>
      </c>
      <c r="G463" s="1851" t="s">
        <v>28</v>
      </c>
      <c r="H463" s="1851" t="s">
        <v>28</v>
      </c>
      <c r="I463" s="1851" t="s">
        <v>1654</v>
      </c>
    </row>
    <row customHeight="1" ht="11.25">
      <c r="A464" s="1851" t="s">
        <v>2283</v>
      </c>
      <c r="B464" s="1851" t="s">
        <v>16</v>
      </c>
      <c r="C464" s="1851" t="s">
        <v>3136</v>
      </c>
      <c r="D464" s="1851" t="s">
        <v>3137</v>
      </c>
      <c r="E464" s="1851" t="s">
        <v>3138</v>
      </c>
      <c r="F464" s="1851" t="s">
        <v>2348</v>
      </c>
      <c r="G464" s="1851" t="s">
        <v>28</v>
      </c>
      <c r="H464" s="1851" t="s">
        <v>28</v>
      </c>
      <c r="I464" s="1851" t="s">
        <v>1654</v>
      </c>
    </row>
    <row customHeight="1" ht="11.25">
      <c r="A465" s="1851" t="s">
        <v>2283</v>
      </c>
      <c r="B465" s="1851" t="s">
        <v>16</v>
      </c>
      <c r="C465" s="1851" t="s">
        <v>3139</v>
      </c>
      <c r="D465" s="1851" t="s">
        <v>3140</v>
      </c>
      <c r="E465" s="1851" t="s">
        <v>3141</v>
      </c>
      <c r="F465" s="1851" t="s">
        <v>2315</v>
      </c>
      <c r="G465" s="1851" t="s">
        <v>3142</v>
      </c>
      <c r="H465" s="1851" t="s">
        <v>28</v>
      </c>
      <c r="I465" s="1851" t="s">
        <v>1654</v>
      </c>
    </row>
    <row customHeight="1" ht="11.25">
      <c r="A466" s="1851" t="s">
        <v>2283</v>
      </c>
      <c r="B466" s="1851" t="s">
        <v>16</v>
      </c>
      <c r="C466" s="1851" t="s">
        <v>2933</v>
      </c>
      <c r="D466" s="1851" t="s">
        <v>2934</v>
      </c>
      <c r="E466" s="1851" t="s">
        <v>2935</v>
      </c>
      <c r="F466" s="1851" t="s">
        <v>2466</v>
      </c>
      <c r="G466" s="1851" t="s">
        <v>28</v>
      </c>
      <c r="H466" s="1851" t="s">
        <v>28</v>
      </c>
      <c r="I466" s="1851" t="s">
        <v>1654</v>
      </c>
    </row>
    <row customHeight="1" ht="11.25">
      <c r="A467" s="1851" t="s">
        <v>2283</v>
      </c>
      <c r="B467" s="1851" t="s">
        <v>16</v>
      </c>
      <c r="C467" s="1851" t="s">
        <v>3143</v>
      </c>
      <c r="D467" s="1851" t="s">
        <v>3144</v>
      </c>
      <c r="E467" s="1851" t="s">
        <v>3145</v>
      </c>
      <c r="F467" s="1851" t="s">
        <v>2286</v>
      </c>
      <c r="G467" s="1851" t="s">
        <v>3146</v>
      </c>
      <c r="H467" s="1851" t="s">
        <v>28</v>
      </c>
      <c r="I467" s="1851" t="s">
        <v>1654</v>
      </c>
    </row>
    <row customHeight="1" ht="11.25">
      <c r="A468" s="1851" t="s">
        <v>2283</v>
      </c>
      <c r="B468" s="1851" t="s">
        <v>16</v>
      </c>
      <c r="C468" s="1851" t="s">
        <v>3147</v>
      </c>
      <c r="D468" s="1851" t="s">
        <v>3148</v>
      </c>
      <c r="E468" s="1851" t="s">
        <v>3149</v>
      </c>
      <c r="F468" s="1851" t="s">
        <v>2487</v>
      </c>
      <c r="G468" s="1851" t="s">
        <v>3150</v>
      </c>
      <c r="H468" s="1851" t="s">
        <v>28</v>
      </c>
      <c r="I468" s="1851" t="s">
        <v>1654</v>
      </c>
    </row>
    <row customHeight="1" ht="11.25">
      <c r="A469" s="1851" t="s">
        <v>2283</v>
      </c>
      <c r="B469" s="1851" t="s">
        <v>16</v>
      </c>
      <c r="C469" s="1851" t="s">
        <v>3151</v>
      </c>
      <c r="D469" s="1851" t="s">
        <v>3152</v>
      </c>
      <c r="E469" s="1851" t="s">
        <v>3153</v>
      </c>
      <c r="F469" s="1851" t="s">
        <v>2525</v>
      </c>
      <c r="G469" s="1851" t="s">
        <v>3154</v>
      </c>
      <c r="H469" s="1851" t="s">
        <v>28</v>
      </c>
      <c r="I469" s="1851" t="s">
        <v>1654</v>
      </c>
    </row>
    <row customHeight="1" ht="11.25">
      <c r="A470" s="1851" t="s">
        <v>2283</v>
      </c>
      <c r="B470" s="1851" t="s">
        <v>16</v>
      </c>
      <c r="C470" s="1851" t="s">
        <v>3155</v>
      </c>
      <c r="D470" s="1851" t="s">
        <v>3156</v>
      </c>
      <c r="E470" s="1851" t="s">
        <v>3157</v>
      </c>
      <c r="F470" s="1851" t="s">
        <v>2553</v>
      </c>
      <c r="G470" s="1851" t="s">
        <v>3158</v>
      </c>
      <c r="H470" s="1851" t="s">
        <v>28</v>
      </c>
      <c r="I470" s="1851" t="s">
        <v>1654</v>
      </c>
    </row>
    <row customHeight="1" ht="11.25">
      <c r="A471" s="1851" t="s">
        <v>2283</v>
      </c>
      <c r="B471" s="1851" t="s">
        <v>16</v>
      </c>
      <c r="C471" s="1851" t="s">
        <v>3159</v>
      </c>
      <c r="D471" s="1851" t="s">
        <v>3160</v>
      </c>
      <c r="E471" s="1851" t="s">
        <v>3161</v>
      </c>
      <c r="F471" s="1851" t="s">
        <v>2422</v>
      </c>
      <c r="G471" s="1851" t="s">
        <v>3162</v>
      </c>
      <c r="H471" s="1851" t="s">
        <v>28</v>
      </c>
      <c r="I471" s="1851" t="s">
        <v>1654</v>
      </c>
    </row>
    <row customHeight="1" ht="11.25">
      <c r="A472" s="1851" t="s">
        <v>2283</v>
      </c>
      <c r="B472" s="1851" t="s">
        <v>16</v>
      </c>
      <c r="C472" s="1851" t="s">
        <v>3163</v>
      </c>
      <c r="D472" s="1851" t="s">
        <v>3164</v>
      </c>
      <c r="E472" s="1851" t="s">
        <v>3165</v>
      </c>
      <c r="F472" s="1851" t="s">
        <v>2480</v>
      </c>
      <c r="G472" s="1851" t="s">
        <v>3166</v>
      </c>
      <c r="H472" s="1851" t="s">
        <v>28</v>
      </c>
      <c r="I472" s="1851" t="s">
        <v>1654</v>
      </c>
    </row>
    <row customHeight="1" ht="11.25">
      <c r="A473" s="1851" t="s">
        <v>2283</v>
      </c>
      <c r="B473" s="1851" t="s">
        <v>16</v>
      </c>
      <c r="C473" s="1851" t="s">
        <v>3167</v>
      </c>
      <c r="D473" s="1851" t="s">
        <v>3168</v>
      </c>
      <c r="E473" s="1851" t="s">
        <v>3169</v>
      </c>
      <c r="F473" s="1851" t="s">
        <v>2339</v>
      </c>
      <c r="G473" s="1851" t="s">
        <v>3170</v>
      </c>
      <c r="H473" s="1851" t="s">
        <v>28</v>
      </c>
      <c r="I473" s="1851" t="s">
        <v>1654</v>
      </c>
    </row>
    <row customHeight="1" ht="11.25">
      <c r="A474" s="1851" t="s">
        <v>2283</v>
      </c>
      <c r="B474" s="1851" t="s">
        <v>16</v>
      </c>
      <c r="C474" s="1851" t="s">
        <v>3171</v>
      </c>
      <c r="D474" s="1851" t="s">
        <v>3172</v>
      </c>
      <c r="E474" s="1851" t="s">
        <v>3173</v>
      </c>
      <c r="F474" s="1851" t="s">
        <v>2553</v>
      </c>
      <c r="G474" s="1851" t="s">
        <v>28</v>
      </c>
      <c r="H474" s="1851" t="s">
        <v>28</v>
      </c>
      <c r="I474" s="1851" t="s">
        <v>1654</v>
      </c>
    </row>
    <row customHeight="1" ht="11.25">
      <c r="A475" s="1851" t="s">
        <v>2283</v>
      </c>
      <c r="B475" s="1851" t="s">
        <v>16</v>
      </c>
      <c r="C475" s="1851" t="s">
        <v>3174</v>
      </c>
      <c r="D475" s="1851" t="s">
        <v>3175</v>
      </c>
      <c r="E475" s="1851" t="s">
        <v>3176</v>
      </c>
      <c r="F475" s="1851" t="s">
        <v>2480</v>
      </c>
      <c r="G475" s="1851" t="s">
        <v>3177</v>
      </c>
      <c r="H475" s="1851" t="s">
        <v>28</v>
      </c>
      <c r="I475" s="1851" t="s">
        <v>1654</v>
      </c>
    </row>
    <row customHeight="1" ht="11.25">
      <c r="A476" s="1851" t="s">
        <v>2283</v>
      </c>
      <c r="B476" s="1851" t="s">
        <v>16</v>
      </c>
      <c r="C476" s="1851" t="s">
        <v>3178</v>
      </c>
      <c r="D476" s="1851" t="s">
        <v>3179</v>
      </c>
      <c r="E476" s="1851" t="s">
        <v>3180</v>
      </c>
      <c r="F476" s="1851" t="s">
        <v>2327</v>
      </c>
      <c r="G476" s="1851" t="s">
        <v>3181</v>
      </c>
      <c r="H476" s="1851" t="s">
        <v>28</v>
      </c>
      <c r="I476" s="1851" t="s">
        <v>1654</v>
      </c>
    </row>
    <row customHeight="1" ht="11.25">
      <c r="A477" s="1851" t="s">
        <v>2283</v>
      </c>
      <c r="B477" s="1851" t="s">
        <v>16</v>
      </c>
      <c r="C477" s="1851" t="s">
        <v>3182</v>
      </c>
      <c r="D477" s="1851" t="s">
        <v>3183</v>
      </c>
      <c r="E477" s="1851" t="s">
        <v>3184</v>
      </c>
      <c r="F477" s="1851" t="s">
        <v>2290</v>
      </c>
      <c r="G477" s="1851" t="s">
        <v>3185</v>
      </c>
      <c r="H477" s="1851" t="s">
        <v>28</v>
      </c>
      <c r="I477" s="1851" t="s">
        <v>1654</v>
      </c>
    </row>
    <row customHeight="1" ht="11.25">
      <c r="A478" s="1851" t="s">
        <v>2283</v>
      </c>
      <c r="B478" s="1851" t="s">
        <v>16</v>
      </c>
      <c r="C478" s="1851" t="s">
        <v>3186</v>
      </c>
      <c r="D478" s="1851" t="s">
        <v>3187</v>
      </c>
      <c r="E478" s="1851" t="s">
        <v>3188</v>
      </c>
      <c r="F478" s="1851" t="s">
        <v>2290</v>
      </c>
      <c r="G478" s="1851" t="s">
        <v>3189</v>
      </c>
      <c r="H478" s="1851" t="s">
        <v>28</v>
      </c>
      <c r="I478" s="1851" t="s">
        <v>1654</v>
      </c>
    </row>
    <row customHeight="1" ht="11.25">
      <c r="A479" s="1851" t="s">
        <v>2283</v>
      </c>
      <c r="B479" s="1851" t="s">
        <v>16</v>
      </c>
      <c r="C479" s="1851" t="s">
        <v>3190</v>
      </c>
      <c r="D479" s="1851" t="s">
        <v>3191</v>
      </c>
      <c r="E479" s="1851" t="s">
        <v>3192</v>
      </c>
      <c r="F479" s="1851" t="s">
        <v>2414</v>
      </c>
      <c r="G479" s="1851" t="s">
        <v>3193</v>
      </c>
      <c r="H479" s="1851" t="s">
        <v>28</v>
      </c>
      <c r="I479" s="1851" t="s">
        <v>1654</v>
      </c>
    </row>
    <row customHeight="1" ht="11.25">
      <c r="A480" s="1851" t="s">
        <v>2283</v>
      </c>
      <c r="B480" s="1851" t="s">
        <v>16</v>
      </c>
      <c r="C480" s="1851" t="s">
        <v>3194</v>
      </c>
      <c r="D480" s="1851" t="s">
        <v>3195</v>
      </c>
      <c r="E480" s="1851" t="s">
        <v>3196</v>
      </c>
      <c r="F480" s="1851" t="s">
        <v>2981</v>
      </c>
      <c r="G480" s="1851" t="s">
        <v>3197</v>
      </c>
      <c r="H480" s="1851" t="s">
        <v>28</v>
      </c>
      <c r="I480" s="1851" t="s">
        <v>1654</v>
      </c>
    </row>
    <row customHeight="1" ht="11.25">
      <c r="A481" s="1851" t="s">
        <v>2283</v>
      </c>
      <c r="B481" s="1851" t="s">
        <v>16</v>
      </c>
      <c r="C481" s="1851" t="s">
        <v>3198</v>
      </c>
      <c r="D481" s="1851" t="s">
        <v>3199</v>
      </c>
      <c r="E481" s="1851" t="s">
        <v>3200</v>
      </c>
      <c r="F481" s="1851" t="s">
        <v>2348</v>
      </c>
      <c r="G481" s="1851" t="s">
        <v>28</v>
      </c>
      <c r="H481" s="1851" t="s">
        <v>28</v>
      </c>
      <c r="I481" s="1851" t="s">
        <v>1654</v>
      </c>
    </row>
    <row customHeight="1" ht="11.25">
      <c r="A482" s="1851" t="s">
        <v>2283</v>
      </c>
      <c r="B482" s="1851" t="s">
        <v>16</v>
      </c>
      <c r="C482" s="1851" t="s">
        <v>3201</v>
      </c>
      <c r="D482" s="1851" t="s">
        <v>3202</v>
      </c>
      <c r="E482" s="1851" t="s">
        <v>3203</v>
      </c>
      <c r="F482" s="1851" t="s">
        <v>2456</v>
      </c>
      <c r="G482" s="1851" t="s">
        <v>28</v>
      </c>
      <c r="H482" s="1851" t="s">
        <v>28</v>
      </c>
      <c r="I482" s="1851" t="s">
        <v>1654</v>
      </c>
    </row>
    <row customHeight="1" ht="11.25">
      <c r="A483" s="1851" t="s">
        <v>2283</v>
      </c>
      <c r="B483" s="1851" t="s">
        <v>16</v>
      </c>
      <c r="C483" s="1851" t="s">
        <v>3204</v>
      </c>
      <c r="D483" s="1851" t="s">
        <v>3205</v>
      </c>
      <c r="E483" s="1851" t="s">
        <v>3206</v>
      </c>
      <c r="F483" s="1851" t="s">
        <v>2290</v>
      </c>
      <c r="G483" s="1851" t="s">
        <v>28</v>
      </c>
      <c r="H483" s="1851" t="s">
        <v>28</v>
      </c>
      <c r="I483" s="1851" t="s">
        <v>1654</v>
      </c>
    </row>
    <row customHeight="1" ht="11.25">
      <c r="A484" s="1851" t="s">
        <v>2283</v>
      </c>
      <c r="B484" s="1851" t="s">
        <v>16</v>
      </c>
      <c r="C484" s="1851" t="s">
        <v>3207</v>
      </c>
      <c r="D484" s="1851" t="s">
        <v>3208</v>
      </c>
      <c r="E484" s="1851" t="s">
        <v>3209</v>
      </c>
      <c r="F484" s="1851" t="s">
        <v>2677</v>
      </c>
      <c r="G484" s="1851" t="s">
        <v>28</v>
      </c>
      <c r="H484" s="1851" t="s">
        <v>28</v>
      </c>
      <c r="I484" s="1851" t="s">
        <v>1654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F28E58-0118-CE18-D458-FF082C986928}" mc:Ignorable="x14ac xr xr2 xr3">
  <sheetPr>
    <tabColor rgb="FFFFCC99"/>
  </sheetPr>
  <dimension ref="A1:G108"/>
  <sheetViews>
    <sheetView topLeftCell="A1" showGridLines="0" workbookViewId="0">
      <selection activeCell="A1" sqref="A1"/>
    </sheetView>
  </sheetViews>
  <sheetFormatPr customHeight="1" defaultRowHeight="11.25"/>
  <cols>
    <col min="1" max="1" style="1851" width="9.140625"/>
  </cols>
  <sheetData>
    <row customHeight="1" ht="11.25">
      <c r="A1" s="374" t="s">
        <v>3210</v>
      </c>
      <c r="B1" s="65" t="s">
        <v>3211</v>
      </c>
      <c r="C1" s="65" t="s">
        <v>3212</v>
      </c>
      <c r="D1" s="65" t="s">
        <v>3213</v>
      </c>
      <c r="E1" s="61" t="s">
        <v>3214</v>
      </c>
      <c r="F1" s="61" t="s">
        <v>3215</v>
      </c>
      <c r="G1" s="61" t="s">
        <v>3216</v>
      </c>
    </row>
    <row customHeight="1" ht="11.25">
      <c r="A2" s="374" t="s">
        <v>16</v>
      </c>
      <c r="B2" s="0" t="s">
        <v>3217</v>
      </c>
      <c r="C2" s="0" t="s">
        <v>3218</v>
      </c>
      <c r="D2" s="0" t="s">
        <v>3217</v>
      </c>
      <c r="E2" s="0" t="s">
        <v>3218</v>
      </c>
      <c r="F2" s="0" t="s">
        <v>3219</v>
      </c>
      <c r="G2" s="0" t="s">
        <v>124</v>
      </c>
    </row>
    <row customHeight="1" ht="11.25">
      <c r="A3" s="374" t="s">
        <v>16</v>
      </c>
      <c r="B3" s="0" t="s">
        <v>3220</v>
      </c>
      <c r="C3" s="0" t="s">
        <v>3221</v>
      </c>
      <c r="D3" s="0" t="s">
        <v>3220</v>
      </c>
      <c r="E3" s="0" t="s">
        <v>3221</v>
      </c>
      <c r="F3" s="0" t="s">
        <v>3222</v>
      </c>
      <c r="G3" s="0" t="s">
        <v>107</v>
      </c>
    </row>
    <row customHeight="1" ht="11.25">
      <c r="A4" s="374" t="s">
        <v>16</v>
      </c>
      <c r="B4" s="0" t="s">
        <v>3223</v>
      </c>
      <c r="C4" s="0" t="s">
        <v>3224</v>
      </c>
      <c r="D4" s="0" t="s">
        <v>3223</v>
      </c>
      <c r="E4" s="0" t="s">
        <v>3224</v>
      </c>
      <c r="F4" s="0" t="s">
        <v>3222</v>
      </c>
      <c r="G4" s="0" t="s">
        <v>93</v>
      </c>
    </row>
    <row customHeight="1" ht="11.25">
      <c r="A5" s="374" t="s">
        <v>16</v>
      </c>
      <c r="B5" s="0" t="s">
        <v>3225</v>
      </c>
      <c r="C5" s="0" t="s">
        <v>3226</v>
      </c>
      <c r="D5" s="0" t="s">
        <v>3225</v>
      </c>
      <c r="E5" s="0" t="s">
        <v>3226</v>
      </c>
      <c r="F5" s="0" t="s">
        <v>3222</v>
      </c>
      <c r="G5" s="0" t="s">
        <v>94</v>
      </c>
    </row>
    <row customHeight="1" ht="11.25">
      <c r="A6" s="374" t="s">
        <v>16</v>
      </c>
      <c r="B6" s="0" t="s">
        <v>3227</v>
      </c>
      <c r="C6" s="0" t="s">
        <v>3228</v>
      </c>
      <c r="D6" s="0" t="s">
        <v>3227</v>
      </c>
      <c r="E6" s="0" t="s">
        <v>3228</v>
      </c>
      <c r="F6" s="0" t="s">
        <v>3222</v>
      </c>
      <c r="G6" s="0" t="s">
        <v>125</v>
      </c>
    </row>
    <row customHeight="1" ht="11.25">
      <c r="A7" s="374" t="s">
        <v>16</v>
      </c>
      <c r="B7" s="0" t="s">
        <v>3229</v>
      </c>
      <c r="C7" s="0" t="s">
        <v>3230</v>
      </c>
      <c r="D7" s="0" t="s">
        <v>3229</v>
      </c>
      <c r="E7" s="0" t="s">
        <v>3230</v>
      </c>
      <c r="F7" s="0" t="s">
        <v>3222</v>
      </c>
      <c r="G7" s="0" t="s">
        <v>95</v>
      </c>
    </row>
    <row customHeight="1" ht="11.25">
      <c r="A8" s="374" t="s">
        <v>16</v>
      </c>
      <c r="B8" s="0" t="s">
        <v>3231</v>
      </c>
      <c r="C8" s="0" t="s">
        <v>3232</v>
      </c>
      <c r="D8" s="0" t="s">
        <v>3231</v>
      </c>
      <c r="E8" s="0" t="s">
        <v>3232</v>
      </c>
      <c r="F8" s="0" t="s">
        <v>3222</v>
      </c>
      <c r="G8" s="0" t="s">
        <v>96</v>
      </c>
    </row>
    <row customHeight="1" ht="11.25">
      <c r="A9" s="374" t="s">
        <v>16</v>
      </c>
      <c r="B9" s="0" t="s">
        <v>3233</v>
      </c>
      <c r="C9" s="0" t="s">
        <v>3234</v>
      </c>
      <c r="D9" s="0" t="s">
        <v>3235</v>
      </c>
      <c r="E9" s="0" t="s">
        <v>3236</v>
      </c>
      <c r="F9" s="0" t="s">
        <v>3237</v>
      </c>
      <c r="G9" s="0" t="s">
        <v>126</v>
      </c>
    </row>
    <row customHeight="1" ht="11.25">
      <c r="A10" s="374" t="s">
        <v>16</v>
      </c>
      <c r="B10" s="0" t="s">
        <v>3233</v>
      </c>
      <c r="C10" s="0" t="s">
        <v>3234</v>
      </c>
      <c r="D10" s="0" t="s">
        <v>3233</v>
      </c>
      <c r="E10" s="0" t="s">
        <v>3234</v>
      </c>
      <c r="F10" s="0" t="s">
        <v>3238</v>
      </c>
      <c r="G10" s="0" t="s">
        <v>162</v>
      </c>
    </row>
    <row customHeight="1" ht="11.25">
      <c r="A11" s="374" t="s">
        <v>16</v>
      </c>
      <c r="B11" s="0" t="s">
        <v>3233</v>
      </c>
      <c r="C11" s="0" t="s">
        <v>3234</v>
      </c>
      <c r="D11" s="0" t="s">
        <v>3239</v>
      </c>
      <c r="E11" s="0" t="s">
        <v>3240</v>
      </c>
      <c r="F11" s="0" t="s">
        <v>3237</v>
      </c>
      <c r="G11" s="0" t="s">
        <v>163</v>
      </c>
    </row>
    <row customHeight="1" ht="11.25">
      <c r="A12" s="374" t="s">
        <v>16</v>
      </c>
      <c r="B12" s="0" t="s">
        <v>3233</v>
      </c>
      <c r="C12" s="0" t="s">
        <v>3234</v>
      </c>
      <c r="D12" s="0" t="s">
        <v>3241</v>
      </c>
      <c r="E12" s="0" t="s">
        <v>3242</v>
      </c>
      <c r="F12" s="0" t="s">
        <v>3243</v>
      </c>
      <c r="G12" s="0" t="s">
        <v>164</v>
      </c>
    </row>
    <row customHeight="1" ht="11.25">
      <c r="A13" s="374" t="s">
        <v>16</v>
      </c>
      <c r="B13" s="0" t="s">
        <v>3233</v>
      </c>
      <c r="C13" s="0" t="s">
        <v>3234</v>
      </c>
      <c r="D13" s="0" t="s">
        <v>3244</v>
      </c>
      <c r="E13" s="0" t="s">
        <v>3245</v>
      </c>
      <c r="F13" s="0" t="s">
        <v>3237</v>
      </c>
      <c r="G13" s="0" t="s">
        <v>165</v>
      </c>
    </row>
    <row customHeight="1" ht="11.25">
      <c r="A14" s="374" t="s">
        <v>16</v>
      </c>
      <c r="B14" s="0" t="s">
        <v>3233</v>
      </c>
      <c r="C14" s="0" t="s">
        <v>3234</v>
      </c>
      <c r="D14" s="0" t="s">
        <v>3246</v>
      </c>
      <c r="E14" s="0" t="s">
        <v>3247</v>
      </c>
      <c r="F14" s="0" t="s">
        <v>3237</v>
      </c>
      <c r="G14" s="0" t="s">
        <v>166</v>
      </c>
    </row>
    <row customHeight="1" ht="11.25">
      <c r="A15" s="374" t="s">
        <v>16</v>
      </c>
      <c r="B15" s="0" t="s">
        <v>3233</v>
      </c>
      <c r="C15" s="0" t="s">
        <v>3234</v>
      </c>
      <c r="D15" s="0" t="s">
        <v>3248</v>
      </c>
      <c r="E15" s="0" t="s">
        <v>3249</v>
      </c>
      <c r="F15" s="0" t="s">
        <v>3237</v>
      </c>
      <c r="G15" s="0" t="s">
        <v>167</v>
      </c>
    </row>
    <row customHeight="1" ht="11.25">
      <c r="A16" s="374" t="s">
        <v>16</v>
      </c>
      <c r="B16" s="0" t="s">
        <v>3233</v>
      </c>
      <c r="C16" s="0" t="s">
        <v>3234</v>
      </c>
      <c r="D16" s="0" t="s">
        <v>3250</v>
      </c>
      <c r="E16" s="0" t="s">
        <v>3251</v>
      </c>
      <c r="F16" s="0" t="s">
        <v>3237</v>
      </c>
      <c r="G16" s="0" t="s">
        <v>1499</v>
      </c>
    </row>
    <row customHeight="1" ht="11.25">
      <c r="A17" s="374" t="s">
        <v>16</v>
      </c>
      <c r="B17" s="0" t="s">
        <v>3252</v>
      </c>
      <c r="C17" s="0" t="s">
        <v>3253</v>
      </c>
      <c r="D17" s="0" t="s">
        <v>3252</v>
      </c>
      <c r="E17" s="0" t="s">
        <v>3253</v>
      </c>
      <c r="F17" s="0" t="s">
        <v>3219</v>
      </c>
      <c r="G17" s="0" t="s">
        <v>1505</v>
      </c>
    </row>
    <row customHeight="1" ht="11.25">
      <c r="A18" s="374" t="s">
        <v>16</v>
      </c>
      <c r="B18" s="0" t="s">
        <v>103</v>
      </c>
      <c r="C18" s="0" t="s">
        <v>3254</v>
      </c>
      <c r="D18" s="0" t="s">
        <v>3255</v>
      </c>
      <c r="E18" s="0" t="s">
        <v>3256</v>
      </c>
      <c r="F18" s="0" t="s">
        <v>3237</v>
      </c>
      <c r="G18" s="0" t="s">
        <v>1517</v>
      </c>
    </row>
    <row customHeight="1" ht="11.25">
      <c r="A19" s="374" t="s">
        <v>16</v>
      </c>
      <c r="B19" s="0" t="s">
        <v>103</v>
      </c>
      <c r="C19" s="0" t="s">
        <v>3254</v>
      </c>
      <c r="D19" s="0" t="s">
        <v>104</v>
      </c>
      <c r="E19" s="0" t="s">
        <v>105</v>
      </c>
      <c r="F19" s="0" t="s">
        <v>3257</v>
      </c>
      <c r="G19" s="0" t="s">
        <v>102</v>
      </c>
    </row>
    <row customHeight="1" ht="11.25">
      <c r="A20" s="374" t="s">
        <v>16</v>
      </c>
      <c r="B20" s="0" t="s">
        <v>103</v>
      </c>
      <c r="C20" s="0" t="s">
        <v>3254</v>
      </c>
      <c r="D20" s="0" t="s">
        <v>103</v>
      </c>
      <c r="E20" s="0" t="s">
        <v>3254</v>
      </c>
      <c r="F20" s="0" t="s">
        <v>3238</v>
      </c>
      <c r="G20" s="0" t="s">
        <v>1542</v>
      </c>
    </row>
    <row customHeight="1" ht="11.25">
      <c r="A21" s="374" t="s">
        <v>16</v>
      </c>
      <c r="B21" s="0" t="s">
        <v>103</v>
      </c>
      <c r="C21" s="0" t="s">
        <v>3254</v>
      </c>
      <c r="D21" s="0" t="s">
        <v>3258</v>
      </c>
      <c r="E21" s="0" t="s">
        <v>3259</v>
      </c>
      <c r="F21" s="0" t="s">
        <v>3257</v>
      </c>
      <c r="G21" s="0" t="s">
        <v>1551</v>
      </c>
    </row>
    <row customHeight="1" ht="11.25">
      <c r="A22" s="374" t="s">
        <v>16</v>
      </c>
      <c r="B22" s="0" t="s">
        <v>103</v>
      </c>
      <c r="C22" s="0" t="s">
        <v>3254</v>
      </c>
      <c r="D22" s="0" t="s">
        <v>3260</v>
      </c>
      <c r="E22" s="0" t="s">
        <v>3261</v>
      </c>
      <c r="F22" s="0" t="s">
        <v>3237</v>
      </c>
      <c r="G22" s="0" t="s">
        <v>1567</v>
      </c>
    </row>
    <row customHeight="1" ht="11.25">
      <c r="A23" s="374" t="s">
        <v>16</v>
      </c>
      <c r="B23" s="0" t="s">
        <v>103</v>
      </c>
      <c r="C23" s="0" t="s">
        <v>3254</v>
      </c>
      <c r="D23" s="0" t="s">
        <v>3262</v>
      </c>
      <c r="E23" s="0" t="s">
        <v>3263</v>
      </c>
      <c r="F23" s="0" t="s">
        <v>3243</v>
      </c>
      <c r="G23" s="0" t="s">
        <v>1574</v>
      </c>
    </row>
    <row customHeight="1" ht="11.25">
      <c r="A24" s="374" t="s">
        <v>16</v>
      </c>
      <c r="B24" s="0" t="s">
        <v>103</v>
      </c>
      <c r="C24" s="0" t="s">
        <v>3254</v>
      </c>
      <c r="D24" s="0" t="s">
        <v>3264</v>
      </c>
      <c r="E24" s="0" t="s">
        <v>3265</v>
      </c>
      <c r="F24" s="0" t="s">
        <v>3237</v>
      </c>
      <c r="G24" s="0" t="s">
        <v>1582</v>
      </c>
    </row>
    <row customHeight="1" ht="11.25">
      <c r="A25" s="374" t="s">
        <v>16</v>
      </c>
      <c r="B25" s="0" t="s">
        <v>103</v>
      </c>
      <c r="C25" s="0" t="s">
        <v>3254</v>
      </c>
      <c r="D25" s="0" t="s">
        <v>3266</v>
      </c>
      <c r="E25" s="0" t="s">
        <v>3267</v>
      </c>
      <c r="F25" s="0" t="s">
        <v>3237</v>
      </c>
      <c r="G25" s="0" t="s">
        <v>1589</v>
      </c>
    </row>
    <row customHeight="1" ht="11.25">
      <c r="A26" s="374" t="s">
        <v>16</v>
      </c>
      <c r="B26" s="0" t="s">
        <v>3268</v>
      </c>
      <c r="C26" s="0" t="s">
        <v>3269</v>
      </c>
      <c r="D26" s="0" t="s">
        <v>3268</v>
      </c>
      <c r="E26" s="0" t="s">
        <v>3269</v>
      </c>
      <c r="F26" s="0" t="s">
        <v>3219</v>
      </c>
      <c r="G26" s="0" t="s">
        <v>1593</v>
      </c>
    </row>
    <row customHeight="1" ht="11.25">
      <c r="A27" s="374" t="s">
        <v>16</v>
      </c>
      <c r="B27" s="0" t="s">
        <v>115</v>
      </c>
      <c r="C27" s="0" t="s">
        <v>3270</v>
      </c>
      <c r="D27" s="0" t="s">
        <v>3271</v>
      </c>
      <c r="E27" s="0" t="s">
        <v>3272</v>
      </c>
      <c r="F27" s="0" t="s">
        <v>3257</v>
      </c>
      <c r="G27" s="0" t="s">
        <v>1598</v>
      </c>
    </row>
    <row customHeight="1" ht="11.25">
      <c r="A28" s="374" t="s">
        <v>16</v>
      </c>
      <c r="B28" s="0" t="s">
        <v>115</v>
      </c>
      <c r="C28" s="0" t="s">
        <v>3270</v>
      </c>
      <c r="D28" s="0" t="s">
        <v>3273</v>
      </c>
      <c r="E28" s="0" t="s">
        <v>3274</v>
      </c>
      <c r="F28" s="0" t="s">
        <v>3237</v>
      </c>
      <c r="G28" s="0" t="s">
        <v>1606</v>
      </c>
    </row>
    <row customHeight="1" ht="11.25">
      <c r="A29" s="374" t="s">
        <v>16</v>
      </c>
      <c r="B29" s="0" t="s">
        <v>115</v>
      </c>
      <c r="C29" s="0" t="s">
        <v>3270</v>
      </c>
      <c r="D29" s="0" t="s">
        <v>3275</v>
      </c>
      <c r="E29" s="0" t="s">
        <v>3276</v>
      </c>
      <c r="F29" s="0" t="s">
        <v>3237</v>
      </c>
      <c r="G29" s="0" t="s">
        <v>1608</v>
      </c>
    </row>
    <row customHeight="1" ht="11.25">
      <c r="A30" s="374" t="s">
        <v>16</v>
      </c>
      <c r="B30" s="0" t="s">
        <v>115</v>
      </c>
      <c r="C30" s="0" t="s">
        <v>3270</v>
      </c>
      <c r="D30" s="0" t="s">
        <v>3277</v>
      </c>
      <c r="E30" s="0" t="s">
        <v>3278</v>
      </c>
      <c r="F30" s="0" t="s">
        <v>3237</v>
      </c>
      <c r="G30" s="0" t="s">
        <v>1611</v>
      </c>
    </row>
    <row customHeight="1" ht="11.25">
      <c r="A31" s="374" t="s">
        <v>16</v>
      </c>
      <c r="B31" s="0" t="s">
        <v>115</v>
      </c>
      <c r="C31" s="0" t="s">
        <v>3270</v>
      </c>
      <c r="D31" s="0" t="s">
        <v>3279</v>
      </c>
      <c r="E31" s="0" t="s">
        <v>3280</v>
      </c>
      <c r="F31" s="0" t="s">
        <v>3237</v>
      </c>
      <c r="G31" s="0" t="s">
        <v>1617</v>
      </c>
    </row>
    <row customHeight="1" ht="11.25">
      <c r="A32" s="374" t="s">
        <v>16</v>
      </c>
      <c r="B32" s="0" t="s">
        <v>115</v>
      </c>
      <c r="C32" s="0" t="s">
        <v>3270</v>
      </c>
      <c r="D32" s="0" t="s">
        <v>115</v>
      </c>
      <c r="E32" s="0" t="s">
        <v>3270</v>
      </c>
      <c r="F32" s="0" t="s">
        <v>3238</v>
      </c>
      <c r="G32" s="0" t="s">
        <v>1619</v>
      </c>
    </row>
    <row customHeight="1" ht="11.25">
      <c r="A33" s="374" t="s">
        <v>16</v>
      </c>
      <c r="B33" s="0" t="s">
        <v>115</v>
      </c>
      <c r="C33" s="0" t="s">
        <v>3270</v>
      </c>
      <c r="D33" s="0" t="s">
        <v>3281</v>
      </c>
      <c r="E33" s="0" t="s">
        <v>3282</v>
      </c>
      <c r="F33" s="0" t="s">
        <v>3237</v>
      </c>
      <c r="G33" s="0" t="s">
        <v>1621</v>
      </c>
    </row>
    <row customHeight="1" ht="11.25">
      <c r="A34" s="374" t="s">
        <v>16</v>
      </c>
      <c r="B34" s="0" t="s">
        <v>115</v>
      </c>
      <c r="C34" s="0" t="s">
        <v>3270</v>
      </c>
      <c r="D34" s="0" t="s">
        <v>3283</v>
      </c>
      <c r="E34" s="0" t="s">
        <v>3284</v>
      </c>
      <c r="F34" s="0" t="s">
        <v>3237</v>
      </c>
      <c r="G34" s="0" t="s">
        <v>1623</v>
      </c>
    </row>
    <row customHeight="1" ht="11.25">
      <c r="A35" s="374" t="s">
        <v>16</v>
      </c>
      <c r="B35" s="0" t="s">
        <v>115</v>
      </c>
      <c r="C35" s="0" t="s">
        <v>3270</v>
      </c>
      <c r="D35" s="0" t="s">
        <v>3285</v>
      </c>
      <c r="E35" s="0" t="s">
        <v>3286</v>
      </c>
      <c r="F35" s="0" t="s">
        <v>3237</v>
      </c>
      <c r="G35" s="0" t="s">
        <v>1628</v>
      </c>
    </row>
    <row customHeight="1" ht="11.25">
      <c r="A36" s="374" t="s">
        <v>16</v>
      </c>
      <c r="B36" s="0" t="s">
        <v>115</v>
      </c>
      <c r="C36" s="0" t="s">
        <v>3270</v>
      </c>
      <c r="D36" s="0" t="s">
        <v>116</v>
      </c>
      <c r="E36" s="0" t="s">
        <v>117</v>
      </c>
      <c r="F36" s="0" t="s">
        <v>3237</v>
      </c>
      <c r="G36" s="0" t="s">
        <v>114</v>
      </c>
    </row>
    <row customHeight="1" ht="11.25">
      <c r="A37" s="374" t="s">
        <v>16</v>
      </c>
      <c r="B37" s="0" t="s">
        <v>115</v>
      </c>
      <c r="C37" s="0" t="s">
        <v>3270</v>
      </c>
      <c r="D37" s="0" t="s">
        <v>3287</v>
      </c>
      <c r="E37" s="0" t="s">
        <v>3288</v>
      </c>
      <c r="F37" s="0" t="s">
        <v>3237</v>
      </c>
      <c r="G37" s="0" t="s">
        <v>1636</v>
      </c>
    </row>
    <row customHeight="1" ht="11.25">
      <c r="A38" s="374" t="s">
        <v>16</v>
      </c>
      <c r="B38" s="0" t="s">
        <v>3289</v>
      </c>
      <c r="C38" s="0" t="s">
        <v>3290</v>
      </c>
      <c r="D38" s="0" t="s">
        <v>3289</v>
      </c>
      <c r="E38" s="0" t="s">
        <v>3290</v>
      </c>
      <c r="F38" s="0" t="s">
        <v>3219</v>
      </c>
      <c r="G38" s="0" t="s">
        <v>1644</v>
      </c>
    </row>
    <row customHeight="1" ht="11.25">
      <c r="A39" s="374" t="s">
        <v>16</v>
      </c>
      <c r="B39" s="0" t="s">
        <v>3291</v>
      </c>
      <c r="C39" s="0" t="s">
        <v>3292</v>
      </c>
      <c r="D39" s="0" t="s">
        <v>3291</v>
      </c>
      <c r="E39" s="0" t="s">
        <v>3292</v>
      </c>
      <c r="F39" s="0" t="s">
        <v>3222</v>
      </c>
      <c r="G39" s="0" t="s">
        <v>1650</v>
      </c>
    </row>
    <row customHeight="1" ht="11.25">
      <c r="A40" s="374" t="s">
        <v>16</v>
      </c>
      <c r="B40" s="0" t="s">
        <v>3293</v>
      </c>
      <c r="C40" s="0" t="s">
        <v>3294</v>
      </c>
      <c r="D40" s="0" t="s">
        <v>3293</v>
      </c>
      <c r="E40" s="0" t="s">
        <v>3294</v>
      </c>
      <c r="F40" s="0" t="s">
        <v>3219</v>
      </c>
      <c r="G40" s="0" t="s">
        <v>1655</v>
      </c>
    </row>
    <row customHeight="1" ht="11.25">
      <c r="A41" s="374" t="s">
        <v>16</v>
      </c>
      <c r="B41" s="0" t="s">
        <v>3295</v>
      </c>
      <c r="C41" s="0" t="s">
        <v>3296</v>
      </c>
      <c r="D41" s="0" t="s">
        <v>3297</v>
      </c>
      <c r="E41" s="0" t="s">
        <v>3298</v>
      </c>
      <c r="F41" s="0" t="s">
        <v>3237</v>
      </c>
      <c r="G41" s="0" t="s">
        <v>1659</v>
      </c>
    </row>
    <row customHeight="1" ht="11.25">
      <c r="A42" s="374" t="s">
        <v>16</v>
      </c>
      <c r="B42" s="0" t="s">
        <v>3295</v>
      </c>
      <c r="C42" s="0" t="s">
        <v>3296</v>
      </c>
      <c r="D42" s="0" t="s">
        <v>3299</v>
      </c>
      <c r="E42" s="0" t="s">
        <v>3300</v>
      </c>
      <c r="F42" s="0" t="s">
        <v>3237</v>
      </c>
      <c r="G42" s="0" t="s">
        <v>1662</v>
      </c>
    </row>
    <row customHeight="1" ht="11.25">
      <c r="A43" s="374" t="s">
        <v>16</v>
      </c>
      <c r="B43" s="0" t="s">
        <v>3295</v>
      </c>
      <c r="C43" s="0" t="s">
        <v>3296</v>
      </c>
      <c r="D43" s="0" t="s">
        <v>3301</v>
      </c>
      <c r="E43" s="0" t="s">
        <v>3302</v>
      </c>
      <c r="F43" s="0" t="s">
        <v>3237</v>
      </c>
      <c r="G43" s="0" t="s">
        <v>1669</v>
      </c>
    </row>
    <row customHeight="1" ht="11.25">
      <c r="A44" s="374" t="s">
        <v>16</v>
      </c>
      <c r="B44" s="0" t="s">
        <v>3295</v>
      </c>
      <c r="C44" s="0" t="s">
        <v>3296</v>
      </c>
      <c r="D44" s="0" t="s">
        <v>3295</v>
      </c>
      <c r="E44" s="0" t="s">
        <v>3296</v>
      </c>
      <c r="F44" s="0" t="s">
        <v>3238</v>
      </c>
      <c r="G44" s="0" t="s">
        <v>1678</v>
      </c>
    </row>
    <row customHeight="1" ht="11.25">
      <c r="A45" s="374" t="s">
        <v>16</v>
      </c>
      <c r="B45" s="0" t="s">
        <v>3295</v>
      </c>
      <c r="C45" s="0" t="s">
        <v>3296</v>
      </c>
      <c r="D45" s="0" t="s">
        <v>3303</v>
      </c>
      <c r="E45" s="0" t="s">
        <v>3304</v>
      </c>
      <c r="F45" s="0" t="s">
        <v>3237</v>
      </c>
      <c r="G45" s="0" t="s">
        <v>1683</v>
      </c>
    </row>
    <row customHeight="1" ht="11.25">
      <c r="A46" s="374" t="s">
        <v>16</v>
      </c>
      <c r="B46" s="0" t="s">
        <v>3295</v>
      </c>
      <c r="C46" s="0" t="s">
        <v>3296</v>
      </c>
      <c r="D46" s="0" t="s">
        <v>3305</v>
      </c>
      <c r="E46" s="0" t="s">
        <v>3306</v>
      </c>
      <c r="F46" s="0" t="s">
        <v>3257</v>
      </c>
      <c r="G46" s="0" t="s">
        <v>1687</v>
      </c>
    </row>
    <row customHeight="1" ht="11.25">
      <c r="A47" s="374" t="s">
        <v>16</v>
      </c>
      <c r="B47" s="0" t="s">
        <v>3295</v>
      </c>
      <c r="C47" s="0" t="s">
        <v>3296</v>
      </c>
      <c r="D47" s="0" t="s">
        <v>3307</v>
      </c>
      <c r="E47" s="0" t="s">
        <v>3308</v>
      </c>
      <c r="F47" s="0" t="s">
        <v>3237</v>
      </c>
      <c r="G47" s="0" t="s">
        <v>1693</v>
      </c>
    </row>
    <row customHeight="1" ht="11.25">
      <c r="A48" s="374" t="s">
        <v>16</v>
      </c>
      <c r="B48" s="0" t="s">
        <v>3295</v>
      </c>
      <c r="C48" s="0" t="s">
        <v>3296</v>
      </c>
      <c r="D48" s="0" t="s">
        <v>3309</v>
      </c>
      <c r="E48" s="0" t="s">
        <v>3310</v>
      </c>
      <c r="F48" s="0" t="s">
        <v>3237</v>
      </c>
      <c r="G48" s="0" t="s">
        <v>1697</v>
      </c>
    </row>
    <row customHeight="1" ht="11.25">
      <c r="A49" s="374" t="s">
        <v>16</v>
      </c>
      <c r="B49" s="0" t="s">
        <v>3311</v>
      </c>
      <c r="C49" s="0" t="s">
        <v>3312</v>
      </c>
      <c r="D49" s="0" t="s">
        <v>3311</v>
      </c>
      <c r="E49" s="0" t="s">
        <v>3312</v>
      </c>
      <c r="F49" s="0" t="s">
        <v>3238</v>
      </c>
      <c r="G49" s="0" t="s">
        <v>1700</v>
      </c>
    </row>
    <row customHeight="1" ht="11.25">
      <c r="A50" s="374" t="s">
        <v>16</v>
      </c>
      <c r="B50" s="0" t="s">
        <v>3311</v>
      </c>
      <c r="C50" s="0" t="s">
        <v>3312</v>
      </c>
      <c r="D50" s="0" t="s">
        <v>3313</v>
      </c>
      <c r="E50" s="0" t="s">
        <v>3314</v>
      </c>
      <c r="F50" s="0" t="s">
        <v>3237</v>
      </c>
      <c r="G50" s="0" t="s">
        <v>1704</v>
      </c>
    </row>
    <row customHeight="1" ht="11.25">
      <c r="A51" s="374" t="s">
        <v>16</v>
      </c>
      <c r="B51" s="0" t="s">
        <v>3311</v>
      </c>
      <c r="C51" s="0" t="s">
        <v>3312</v>
      </c>
      <c r="D51" s="0" t="s">
        <v>3315</v>
      </c>
      <c r="E51" s="0" t="s">
        <v>3316</v>
      </c>
      <c r="F51" s="0" t="s">
        <v>3237</v>
      </c>
      <c r="G51" s="0" t="s">
        <v>1708</v>
      </c>
    </row>
    <row customHeight="1" ht="11.25">
      <c r="A52" s="374" t="s">
        <v>16</v>
      </c>
      <c r="B52" s="0" t="s">
        <v>3311</v>
      </c>
      <c r="C52" s="0" t="s">
        <v>3312</v>
      </c>
      <c r="D52" s="0" t="s">
        <v>3317</v>
      </c>
      <c r="E52" s="0" t="s">
        <v>3318</v>
      </c>
      <c r="F52" s="0" t="s">
        <v>3237</v>
      </c>
      <c r="G52" s="0" t="s">
        <v>1712</v>
      </c>
    </row>
    <row customHeight="1" ht="11.25">
      <c r="A53" s="374" t="s">
        <v>16</v>
      </c>
      <c r="B53" s="0" t="s">
        <v>3319</v>
      </c>
      <c r="C53" s="0" t="s">
        <v>3320</v>
      </c>
      <c r="D53" s="0" t="s">
        <v>3319</v>
      </c>
      <c r="E53" s="0" t="s">
        <v>3320</v>
      </c>
      <c r="F53" s="0" t="s">
        <v>3222</v>
      </c>
      <c r="G53" s="0" t="s">
        <v>1714</v>
      </c>
    </row>
    <row customHeight="1" ht="11.25">
      <c r="A54" s="374" t="s">
        <v>16</v>
      </c>
      <c r="B54" s="0" t="s">
        <v>3321</v>
      </c>
      <c r="C54" s="0" t="s">
        <v>3322</v>
      </c>
      <c r="D54" s="0" t="s">
        <v>3321</v>
      </c>
      <c r="E54" s="0" t="s">
        <v>3322</v>
      </c>
      <c r="F54" s="0" t="s">
        <v>3219</v>
      </c>
      <c r="G54" s="0" t="s">
        <v>1717</v>
      </c>
    </row>
    <row customHeight="1" ht="11.25">
      <c r="A55" s="374" t="s">
        <v>16</v>
      </c>
      <c r="B55" s="0" t="s">
        <v>3323</v>
      </c>
      <c r="C55" s="0" t="s">
        <v>3324</v>
      </c>
      <c r="D55" s="0" t="s">
        <v>3323</v>
      </c>
      <c r="E55" s="0" t="s">
        <v>3324</v>
      </c>
      <c r="F55" s="0" t="s">
        <v>3219</v>
      </c>
      <c r="G55" s="0" t="s">
        <v>1722</v>
      </c>
    </row>
    <row customHeight="1" ht="11.25">
      <c r="A56" s="374" t="s">
        <v>16</v>
      </c>
      <c r="B56" s="0" t="s">
        <v>3325</v>
      </c>
      <c r="C56" s="0" t="s">
        <v>3326</v>
      </c>
      <c r="D56" s="0" t="s">
        <v>3325</v>
      </c>
      <c r="E56" s="0" t="s">
        <v>3326</v>
      </c>
      <c r="F56" s="0" t="s">
        <v>3222</v>
      </c>
      <c r="G56" s="0" t="s">
        <v>1725</v>
      </c>
    </row>
    <row customHeight="1" ht="11.25">
      <c r="A57" s="374" t="s">
        <v>16</v>
      </c>
      <c r="B57" s="0" t="s">
        <v>3327</v>
      </c>
      <c r="C57" s="0" t="s">
        <v>3328</v>
      </c>
      <c r="D57" s="0" t="s">
        <v>3327</v>
      </c>
      <c r="E57" s="0" t="s">
        <v>3328</v>
      </c>
      <c r="F57" s="0" t="s">
        <v>3219</v>
      </c>
      <c r="G57" s="0" t="s">
        <v>1728</v>
      </c>
    </row>
    <row customHeight="1" ht="11.25">
      <c r="A58" s="374" t="s">
        <v>16</v>
      </c>
      <c r="B58" s="0" t="s">
        <v>3329</v>
      </c>
      <c r="C58" s="0" t="s">
        <v>3330</v>
      </c>
      <c r="D58" s="0" t="s">
        <v>3331</v>
      </c>
      <c r="E58" s="0" t="s">
        <v>3332</v>
      </c>
      <c r="F58" s="0" t="s">
        <v>3237</v>
      </c>
      <c r="G58" s="0" t="s">
        <v>1731</v>
      </c>
    </row>
    <row customHeight="1" ht="11.25">
      <c r="A59" s="374" t="s">
        <v>16</v>
      </c>
      <c r="B59" s="0" t="s">
        <v>3329</v>
      </c>
      <c r="C59" s="0" t="s">
        <v>3330</v>
      </c>
      <c r="D59" s="0" t="s">
        <v>3333</v>
      </c>
      <c r="E59" s="0" t="s">
        <v>3334</v>
      </c>
      <c r="F59" s="0" t="s">
        <v>3237</v>
      </c>
      <c r="G59" s="0" t="s">
        <v>1735</v>
      </c>
    </row>
    <row customHeight="1" ht="11.25">
      <c r="A60" s="374" t="s">
        <v>16</v>
      </c>
      <c r="B60" s="0" t="s">
        <v>3329</v>
      </c>
      <c r="C60" s="0" t="s">
        <v>3330</v>
      </c>
      <c r="D60" s="0" t="s">
        <v>3335</v>
      </c>
      <c r="E60" s="0" t="s">
        <v>3336</v>
      </c>
      <c r="F60" s="0" t="s">
        <v>3237</v>
      </c>
      <c r="G60" s="0" t="s">
        <v>1739</v>
      </c>
    </row>
    <row customHeight="1" ht="11.25">
      <c r="A61" s="374" t="s">
        <v>16</v>
      </c>
      <c r="B61" s="0" t="s">
        <v>3329</v>
      </c>
      <c r="C61" s="0" t="s">
        <v>3330</v>
      </c>
      <c r="D61" s="0" t="s">
        <v>3337</v>
      </c>
      <c r="E61" s="0" t="s">
        <v>3338</v>
      </c>
      <c r="F61" s="0" t="s">
        <v>3243</v>
      </c>
      <c r="G61" s="0" t="s">
        <v>3339</v>
      </c>
    </row>
    <row customHeight="1" ht="11.25">
      <c r="A62" s="374" t="s">
        <v>16</v>
      </c>
      <c r="B62" s="0" t="s">
        <v>3329</v>
      </c>
      <c r="C62" s="0" t="s">
        <v>3330</v>
      </c>
      <c r="D62" s="0" t="s">
        <v>3340</v>
      </c>
      <c r="E62" s="0" t="s">
        <v>3341</v>
      </c>
      <c r="F62" s="0" t="s">
        <v>3237</v>
      </c>
      <c r="G62" s="0" t="s">
        <v>3342</v>
      </c>
    </row>
    <row customHeight="1" ht="11.25">
      <c r="A63" s="374" t="s">
        <v>16</v>
      </c>
      <c r="B63" s="0" t="s">
        <v>3329</v>
      </c>
      <c r="C63" s="0" t="s">
        <v>3330</v>
      </c>
      <c r="D63" s="0" t="s">
        <v>3343</v>
      </c>
      <c r="E63" s="0" t="s">
        <v>3344</v>
      </c>
      <c r="F63" s="0" t="s">
        <v>3237</v>
      </c>
      <c r="G63" s="0" t="s">
        <v>3345</v>
      </c>
    </row>
    <row customHeight="1" ht="11.25">
      <c r="A64" s="374" t="s">
        <v>16</v>
      </c>
      <c r="B64" s="0" t="s">
        <v>3329</v>
      </c>
      <c r="C64" s="0" t="s">
        <v>3330</v>
      </c>
      <c r="D64" s="0" t="s">
        <v>3329</v>
      </c>
      <c r="E64" s="0" t="s">
        <v>3330</v>
      </c>
      <c r="F64" s="0" t="s">
        <v>3238</v>
      </c>
      <c r="G64" s="0" t="s">
        <v>3346</v>
      </c>
    </row>
    <row customHeight="1" ht="11.25">
      <c r="A65" s="374" t="s">
        <v>16</v>
      </c>
      <c r="B65" s="0" t="s">
        <v>3329</v>
      </c>
      <c r="C65" s="0" t="s">
        <v>3330</v>
      </c>
      <c r="D65" s="0" t="s">
        <v>3347</v>
      </c>
      <c r="E65" s="0" t="s">
        <v>3348</v>
      </c>
      <c r="F65" s="0" t="s">
        <v>3237</v>
      </c>
      <c r="G65" s="0" t="s">
        <v>3349</v>
      </c>
    </row>
    <row customHeight="1" ht="11.25">
      <c r="A66" s="374" t="s">
        <v>16</v>
      </c>
      <c r="B66" s="0" t="s">
        <v>3350</v>
      </c>
      <c r="C66" s="0" t="s">
        <v>3351</v>
      </c>
      <c r="D66" s="0" t="s">
        <v>3350</v>
      </c>
      <c r="E66" s="0" t="s">
        <v>3351</v>
      </c>
      <c r="F66" s="0" t="s">
        <v>3219</v>
      </c>
      <c r="G66" s="0" t="s">
        <v>3352</v>
      </c>
    </row>
    <row customHeight="1" ht="11.25">
      <c r="A67" s="374" t="s">
        <v>16</v>
      </c>
      <c r="B67" s="0" t="s">
        <v>3353</v>
      </c>
      <c r="C67" s="0" t="s">
        <v>3354</v>
      </c>
      <c r="D67" s="0" t="s">
        <v>3353</v>
      </c>
      <c r="E67" s="0" t="s">
        <v>3354</v>
      </c>
      <c r="F67" s="0" t="s">
        <v>3219</v>
      </c>
      <c r="G67" s="0" t="s">
        <v>2057</v>
      </c>
    </row>
    <row customHeight="1" ht="11.25">
      <c r="A68" s="374" t="s">
        <v>16</v>
      </c>
      <c r="B68" s="0" t="s">
        <v>3355</v>
      </c>
      <c r="C68" s="0" t="s">
        <v>3356</v>
      </c>
      <c r="D68" s="0" t="s">
        <v>3357</v>
      </c>
      <c r="E68" s="0" t="s">
        <v>3358</v>
      </c>
      <c r="F68" s="0" t="s">
        <v>3237</v>
      </c>
      <c r="G68" s="0" t="s">
        <v>3359</v>
      </c>
    </row>
    <row customHeight="1" ht="11.25">
      <c r="A69" s="374" t="s">
        <v>16</v>
      </c>
      <c r="B69" s="0" t="s">
        <v>3355</v>
      </c>
      <c r="C69" s="0" t="s">
        <v>3356</v>
      </c>
      <c r="D69" s="0" t="s">
        <v>3360</v>
      </c>
      <c r="E69" s="0" t="s">
        <v>3361</v>
      </c>
      <c r="F69" s="0" t="s">
        <v>3237</v>
      </c>
      <c r="G69" s="0" t="s">
        <v>2260</v>
      </c>
    </row>
    <row customHeight="1" ht="11.25">
      <c r="A70" s="374" t="s">
        <v>16</v>
      </c>
      <c r="B70" s="0" t="s">
        <v>3355</v>
      </c>
      <c r="C70" s="0" t="s">
        <v>3356</v>
      </c>
      <c r="D70" s="0" t="s">
        <v>3362</v>
      </c>
      <c r="E70" s="0" t="s">
        <v>3363</v>
      </c>
      <c r="F70" s="0" t="s">
        <v>3237</v>
      </c>
      <c r="G70" s="0" t="s">
        <v>3364</v>
      </c>
    </row>
    <row customHeight="1" ht="11.25">
      <c r="A71" s="374" t="s">
        <v>16</v>
      </c>
      <c r="B71" s="0" t="s">
        <v>3355</v>
      </c>
      <c r="C71" s="0" t="s">
        <v>3356</v>
      </c>
      <c r="D71" s="0" t="s">
        <v>3365</v>
      </c>
      <c r="E71" s="0" t="s">
        <v>3366</v>
      </c>
      <c r="F71" s="0" t="s">
        <v>3237</v>
      </c>
      <c r="G71" s="0" t="s">
        <v>3367</v>
      </c>
    </row>
    <row customHeight="1" ht="11.25">
      <c r="A72" s="374" t="s">
        <v>16</v>
      </c>
      <c r="B72" s="0" t="s">
        <v>3355</v>
      </c>
      <c r="C72" s="0" t="s">
        <v>3356</v>
      </c>
      <c r="D72" s="0" t="s">
        <v>3368</v>
      </c>
      <c r="E72" s="0" t="s">
        <v>3369</v>
      </c>
      <c r="F72" s="0" t="s">
        <v>3237</v>
      </c>
      <c r="G72" s="0" t="s">
        <v>3370</v>
      </c>
    </row>
    <row customHeight="1" ht="11.25">
      <c r="A73" s="374" t="s">
        <v>16</v>
      </c>
      <c r="B73" s="0" t="s">
        <v>3355</v>
      </c>
      <c r="C73" s="0" t="s">
        <v>3356</v>
      </c>
      <c r="D73" s="0" t="s">
        <v>3355</v>
      </c>
      <c r="E73" s="0" t="s">
        <v>3356</v>
      </c>
      <c r="F73" s="0" t="s">
        <v>3238</v>
      </c>
      <c r="G73" s="0" t="s">
        <v>3371</v>
      </c>
    </row>
    <row customHeight="1" ht="11.25">
      <c r="A74" s="374" t="s">
        <v>16</v>
      </c>
      <c r="B74" s="0" t="s">
        <v>3355</v>
      </c>
      <c r="C74" s="0" t="s">
        <v>3356</v>
      </c>
      <c r="D74" s="0" t="s">
        <v>3372</v>
      </c>
      <c r="E74" s="0" t="s">
        <v>3373</v>
      </c>
      <c r="F74" s="0" t="s">
        <v>3237</v>
      </c>
      <c r="G74" s="0" t="s">
        <v>3374</v>
      </c>
    </row>
    <row customHeight="1" ht="11.25">
      <c r="A75" s="374" t="s">
        <v>16</v>
      </c>
      <c r="B75" s="0" t="s">
        <v>3355</v>
      </c>
      <c r="C75" s="0" t="s">
        <v>3356</v>
      </c>
      <c r="D75" s="0" t="s">
        <v>3375</v>
      </c>
      <c r="E75" s="0" t="s">
        <v>3376</v>
      </c>
      <c r="F75" s="0" t="s">
        <v>3237</v>
      </c>
      <c r="G75" s="0" t="s">
        <v>3377</v>
      </c>
    </row>
    <row customHeight="1" ht="11.25">
      <c r="A76" s="374" t="s">
        <v>16</v>
      </c>
      <c r="B76" s="0" t="s">
        <v>3355</v>
      </c>
      <c r="C76" s="0" t="s">
        <v>3356</v>
      </c>
      <c r="D76" s="0" t="s">
        <v>3378</v>
      </c>
      <c r="E76" s="0" t="s">
        <v>3379</v>
      </c>
      <c r="F76" s="0" t="s">
        <v>3237</v>
      </c>
      <c r="G76" s="0" t="s">
        <v>3380</v>
      </c>
    </row>
    <row customHeight="1" ht="11.25">
      <c r="A77" s="374" t="s">
        <v>16</v>
      </c>
      <c r="B77" s="0" t="s">
        <v>3381</v>
      </c>
      <c r="C77" s="0" t="s">
        <v>3382</v>
      </c>
      <c r="D77" s="0" t="s">
        <v>3381</v>
      </c>
      <c r="E77" s="0" t="s">
        <v>3382</v>
      </c>
      <c r="F77" s="0" t="s">
        <v>3219</v>
      </c>
      <c r="G77" s="0" t="s">
        <v>3383</v>
      </c>
    </row>
    <row customHeight="1" ht="11.25">
      <c r="A78" s="374" t="s">
        <v>16</v>
      </c>
      <c r="B78" s="0" t="s">
        <v>3384</v>
      </c>
      <c r="C78" s="0" t="s">
        <v>3385</v>
      </c>
      <c r="D78" s="0" t="s">
        <v>3384</v>
      </c>
      <c r="E78" s="0" t="s">
        <v>3385</v>
      </c>
      <c r="F78" s="0" t="s">
        <v>3222</v>
      </c>
      <c r="G78" s="0" t="s">
        <v>3386</v>
      </c>
    </row>
    <row customHeight="1" ht="11.25">
      <c r="A79" s="374" t="s">
        <v>16</v>
      </c>
      <c r="B79" s="0" t="s">
        <v>3387</v>
      </c>
      <c r="C79" s="0" t="s">
        <v>3388</v>
      </c>
      <c r="D79" s="0" t="s">
        <v>3387</v>
      </c>
      <c r="E79" s="0" t="s">
        <v>3388</v>
      </c>
      <c r="F79" s="0" t="s">
        <v>3219</v>
      </c>
      <c r="G79" s="0" t="s">
        <v>3389</v>
      </c>
    </row>
    <row customHeight="1" ht="11.25">
      <c r="A80" s="374" t="s">
        <v>16</v>
      </c>
      <c r="B80" s="0" t="s">
        <v>111</v>
      </c>
      <c r="C80" s="0" t="s">
        <v>112</v>
      </c>
      <c r="D80" s="0" t="s">
        <v>111</v>
      </c>
      <c r="E80" s="0" t="s">
        <v>112</v>
      </c>
      <c r="F80" s="0" t="s">
        <v>3219</v>
      </c>
      <c r="G80" s="0" t="s">
        <v>110</v>
      </c>
    </row>
    <row customHeight="1" ht="11.25">
      <c r="A81" s="374" t="s">
        <v>16</v>
      </c>
      <c r="B81" s="0" t="s">
        <v>3390</v>
      </c>
      <c r="C81" s="0" t="s">
        <v>3391</v>
      </c>
      <c r="D81" s="0" t="s">
        <v>3390</v>
      </c>
      <c r="E81" s="0" t="s">
        <v>3391</v>
      </c>
      <c r="F81" s="0" t="s">
        <v>3219</v>
      </c>
      <c r="G81" s="0" t="s">
        <v>3392</v>
      </c>
    </row>
    <row customHeight="1" ht="11.25">
      <c r="A82" s="374" t="s">
        <v>16</v>
      </c>
      <c r="B82" s="0" t="s">
        <v>3393</v>
      </c>
      <c r="C82" s="0" t="s">
        <v>3394</v>
      </c>
      <c r="D82" s="0" t="s">
        <v>3393</v>
      </c>
      <c r="E82" s="0" t="s">
        <v>3394</v>
      </c>
      <c r="F82" s="0" t="s">
        <v>3219</v>
      </c>
      <c r="G82" s="0" t="s">
        <v>3395</v>
      </c>
    </row>
    <row customHeight="1" ht="11.25">
      <c r="A83" s="374" t="s">
        <v>16</v>
      </c>
      <c r="B83" s="0" t="s">
        <v>3396</v>
      </c>
      <c r="C83" s="0" t="s">
        <v>3397</v>
      </c>
      <c r="D83" s="0" t="s">
        <v>3398</v>
      </c>
      <c r="E83" s="0" t="s">
        <v>3399</v>
      </c>
      <c r="F83" s="0" t="s">
        <v>3237</v>
      </c>
      <c r="G83" s="0" t="s">
        <v>3400</v>
      </c>
    </row>
    <row customHeight="1" ht="11.25">
      <c r="A84" s="374" t="s">
        <v>16</v>
      </c>
      <c r="B84" s="0" t="s">
        <v>3396</v>
      </c>
      <c r="C84" s="0" t="s">
        <v>3397</v>
      </c>
      <c r="D84" s="0" t="s">
        <v>3401</v>
      </c>
      <c r="E84" s="0" t="s">
        <v>3402</v>
      </c>
      <c r="F84" s="0" t="s">
        <v>3243</v>
      </c>
      <c r="G84" s="0" t="s">
        <v>3403</v>
      </c>
    </row>
    <row customHeight="1" ht="11.25">
      <c r="A85" s="374" t="s">
        <v>16</v>
      </c>
      <c r="B85" s="0" t="s">
        <v>3396</v>
      </c>
      <c r="C85" s="0" t="s">
        <v>3397</v>
      </c>
      <c r="D85" s="0" t="s">
        <v>3404</v>
      </c>
      <c r="E85" s="0" t="s">
        <v>3405</v>
      </c>
      <c r="F85" s="0" t="s">
        <v>3237</v>
      </c>
      <c r="G85" s="0" t="s">
        <v>3406</v>
      </c>
    </row>
    <row customHeight="1" ht="11.25">
      <c r="A86" s="374" t="s">
        <v>16</v>
      </c>
      <c r="B86" s="0" t="s">
        <v>3396</v>
      </c>
      <c r="C86" s="0" t="s">
        <v>3397</v>
      </c>
      <c r="D86" s="0" t="s">
        <v>3407</v>
      </c>
      <c r="E86" s="0" t="s">
        <v>3408</v>
      </c>
      <c r="F86" s="0" t="s">
        <v>3257</v>
      </c>
      <c r="G86" s="0" t="s">
        <v>3409</v>
      </c>
    </row>
    <row customHeight="1" ht="11.25">
      <c r="A87" s="374" t="s">
        <v>16</v>
      </c>
      <c r="B87" s="0" t="s">
        <v>3396</v>
      </c>
      <c r="C87" s="0" t="s">
        <v>3397</v>
      </c>
      <c r="D87" s="0" t="s">
        <v>3410</v>
      </c>
      <c r="E87" s="0" t="s">
        <v>3411</v>
      </c>
      <c r="F87" s="0" t="s">
        <v>3237</v>
      </c>
      <c r="G87" s="0" t="s">
        <v>3412</v>
      </c>
    </row>
    <row customHeight="1" ht="11.25">
      <c r="A88" s="374" t="s">
        <v>16</v>
      </c>
      <c r="B88" s="0" t="s">
        <v>3396</v>
      </c>
      <c r="C88" s="0" t="s">
        <v>3397</v>
      </c>
      <c r="D88" s="0" t="s">
        <v>3396</v>
      </c>
      <c r="E88" s="0" t="s">
        <v>3397</v>
      </c>
      <c r="F88" s="0" t="s">
        <v>3238</v>
      </c>
      <c r="G88" s="0" t="s">
        <v>3413</v>
      </c>
    </row>
    <row customHeight="1" ht="11.25">
      <c r="A89" s="374" t="s">
        <v>16</v>
      </c>
      <c r="B89" s="0" t="s">
        <v>3396</v>
      </c>
      <c r="C89" s="0" t="s">
        <v>3397</v>
      </c>
      <c r="D89" s="0" t="s">
        <v>3414</v>
      </c>
      <c r="E89" s="0" t="s">
        <v>3415</v>
      </c>
      <c r="F89" s="0" t="s">
        <v>3237</v>
      </c>
      <c r="G89" s="0" t="s">
        <v>3416</v>
      </c>
    </row>
    <row customHeight="1" ht="11.25">
      <c r="A90" s="374" t="s">
        <v>16</v>
      </c>
      <c r="B90" s="0" t="s">
        <v>3417</v>
      </c>
      <c r="C90" s="0" t="s">
        <v>3418</v>
      </c>
      <c r="D90" s="0" t="s">
        <v>3417</v>
      </c>
      <c r="E90" s="0" t="s">
        <v>3418</v>
      </c>
      <c r="F90" s="0" t="s">
        <v>3219</v>
      </c>
      <c r="G90" s="0" t="s">
        <v>3419</v>
      </c>
    </row>
    <row customHeight="1" ht="11.25">
      <c r="A91" s="374" t="s">
        <v>16</v>
      </c>
      <c r="B91" s="0" t="s">
        <v>3420</v>
      </c>
      <c r="C91" s="0" t="s">
        <v>3421</v>
      </c>
      <c r="D91" s="0" t="s">
        <v>3420</v>
      </c>
      <c r="E91" s="0" t="s">
        <v>3421</v>
      </c>
      <c r="F91" s="0" t="s">
        <v>3219</v>
      </c>
      <c r="G91" s="0" t="s">
        <v>3422</v>
      </c>
    </row>
    <row customHeight="1" ht="11.25">
      <c r="A92" s="374" t="s">
        <v>16</v>
      </c>
      <c r="B92" s="0" t="s">
        <v>3423</v>
      </c>
      <c r="C92" s="0" t="s">
        <v>3424</v>
      </c>
      <c r="D92" s="0" t="s">
        <v>3425</v>
      </c>
      <c r="E92" s="0" t="s">
        <v>3426</v>
      </c>
      <c r="F92" s="0" t="s">
        <v>3237</v>
      </c>
      <c r="G92" s="0" t="s">
        <v>3427</v>
      </c>
    </row>
    <row customHeight="1" ht="11.25">
      <c r="A93" s="374" t="s">
        <v>16</v>
      </c>
      <c r="B93" s="0" t="s">
        <v>3423</v>
      </c>
      <c r="C93" s="0" t="s">
        <v>3424</v>
      </c>
      <c r="D93" s="0" t="s">
        <v>3428</v>
      </c>
      <c r="E93" s="0" t="s">
        <v>3429</v>
      </c>
      <c r="F93" s="0" t="s">
        <v>3237</v>
      </c>
      <c r="G93" s="0" t="s">
        <v>3430</v>
      </c>
    </row>
    <row customHeight="1" ht="11.25">
      <c r="A94" s="374" t="s">
        <v>16</v>
      </c>
      <c r="B94" s="0" t="s">
        <v>3423</v>
      </c>
      <c r="C94" s="0" t="s">
        <v>3424</v>
      </c>
      <c r="D94" s="0" t="s">
        <v>3431</v>
      </c>
      <c r="E94" s="0" t="s">
        <v>3432</v>
      </c>
      <c r="F94" s="0" t="s">
        <v>3237</v>
      </c>
      <c r="G94" s="0" t="s">
        <v>3433</v>
      </c>
    </row>
    <row customHeight="1" ht="11.25">
      <c r="A95" s="374" t="s">
        <v>16</v>
      </c>
      <c r="B95" s="0" t="s">
        <v>3423</v>
      </c>
      <c r="C95" s="0" t="s">
        <v>3424</v>
      </c>
      <c r="D95" s="0" t="s">
        <v>3434</v>
      </c>
      <c r="E95" s="0" t="s">
        <v>3435</v>
      </c>
      <c r="F95" s="0" t="s">
        <v>3257</v>
      </c>
      <c r="G95" s="0" t="s">
        <v>3436</v>
      </c>
    </row>
    <row customHeight="1" ht="11.25">
      <c r="A96" s="374" t="s">
        <v>16</v>
      </c>
      <c r="B96" s="0" t="s">
        <v>3423</v>
      </c>
      <c r="C96" s="0" t="s">
        <v>3424</v>
      </c>
      <c r="D96" s="0" t="s">
        <v>3437</v>
      </c>
      <c r="E96" s="0" t="s">
        <v>3438</v>
      </c>
      <c r="F96" s="0" t="s">
        <v>3237</v>
      </c>
      <c r="G96" s="0" t="s">
        <v>3439</v>
      </c>
    </row>
    <row customHeight="1" ht="11.25">
      <c r="A97" s="374" t="s">
        <v>16</v>
      </c>
      <c r="B97" s="0" t="s">
        <v>3423</v>
      </c>
      <c r="C97" s="0" t="s">
        <v>3424</v>
      </c>
      <c r="D97" s="0" t="s">
        <v>3423</v>
      </c>
      <c r="E97" s="0" t="s">
        <v>3424</v>
      </c>
      <c r="F97" s="0" t="s">
        <v>3238</v>
      </c>
      <c r="G97" s="0" t="s">
        <v>3440</v>
      </c>
    </row>
    <row customHeight="1" ht="11.25">
      <c r="A98" s="374" t="s">
        <v>16</v>
      </c>
      <c r="B98" s="0" t="s">
        <v>3423</v>
      </c>
      <c r="C98" s="0" t="s">
        <v>3424</v>
      </c>
      <c r="D98" s="0" t="s">
        <v>3441</v>
      </c>
      <c r="E98" s="0" t="s">
        <v>3442</v>
      </c>
      <c r="F98" s="0" t="s">
        <v>3257</v>
      </c>
      <c r="G98" s="0" t="s">
        <v>3443</v>
      </c>
    </row>
    <row customHeight="1" ht="11.25">
      <c r="A99" s="374" t="s">
        <v>16</v>
      </c>
      <c r="B99" s="0" t="s">
        <v>3423</v>
      </c>
      <c r="C99" s="0" t="s">
        <v>3424</v>
      </c>
      <c r="D99" s="0" t="s">
        <v>3444</v>
      </c>
      <c r="E99" s="0" t="s">
        <v>3445</v>
      </c>
      <c r="F99" s="0" t="s">
        <v>3237</v>
      </c>
      <c r="G99" s="0" t="s">
        <v>3446</v>
      </c>
    </row>
    <row customHeight="1" ht="11.25">
      <c r="A100" s="374" t="s">
        <v>16</v>
      </c>
      <c r="B100" s="0" t="s">
        <v>3447</v>
      </c>
      <c r="C100" s="0" t="s">
        <v>3448</v>
      </c>
      <c r="D100" s="0" t="s">
        <v>3447</v>
      </c>
      <c r="E100" s="0" t="s">
        <v>3448</v>
      </c>
      <c r="F100" s="0" t="s">
        <v>3219</v>
      </c>
      <c r="G100" s="0" t="s">
        <v>3449</v>
      </c>
    </row>
    <row customHeight="1" ht="11.25">
      <c r="A101" s="374" t="s">
        <v>16</v>
      </c>
      <c r="B101" s="0" t="s">
        <v>3450</v>
      </c>
      <c r="C101" s="0" t="s">
        <v>3451</v>
      </c>
      <c r="D101" s="0" t="s">
        <v>3452</v>
      </c>
      <c r="E101" s="0" t="s">
        <v>3453</v>
      </c>
      <c r="F101" s="0" t="s">
        <v>3237</v>
      </c>
      <c r="G101" s="0" t="s">
        <v>3454</v>
      </c>
    </row>
    <row customHeight="1" ht="11.25">
      <c r="A102" s="374" t="s">
        <v>16</v>
      </c>
      <c r="B102" s="0" t="s">
        <v>3450</v>
      </c>
      <c r="C102" s="0" t="s">
        <v>3451</v>
      </c>
      <c r="D102" s="0" t="s">
        <v>3455</v>
      </c>
      <c r="E102" s="0" t="s">
        <v>3456</v>
      </c>
      <c r="F102" s="0" t="s">
        <v>3237</v>
      </c>
      <c r="G102" s="0" t="s">
        <v>3457</v>
      </c>
    </row>
    <row customHeight="1" ht="11.25">
      <c r="A103" s="374" t="s">
        <v>16</v>
      </c>
      <c r="B103" s="0" t="s">
        <v>3450</v>
      </c>
      <c r="C103" s="0" t="s">
        <v>3451</v>
      </c>
      <c r="D103" s="0" t="s">
        <v>3458</v>
      </c>
      <c r="E103" s="0" t="s">
        <v>3459</v>
      </c>
      <c r="F103" s="0" t="s">
        <v>3237</v>
      </c>
      <c r="G103" s="0" t="s">
        <v>3460</v>
      </c>
    </row>
    <row customHeight="1" ht="11.25">
      <c r="A104" s="374" t="s">
        <v>16</v>
      </c>
      <c r="B104" s="0" t="s">
        <v>3450</v>
      </c>
      <c r="C104" s="0" t="s">
        <v>3451</v>
      </c>
      <c r="D104" s="0" t="s">
        <v>3461</v>
      </c>
      <c r="E104" s="0" t="s">
        <v>3462</v>
      </c>
      <c r="F104" s="0" t="s">
        <v>3237</v>
      </c>
      <c r="G104" s="0" t="s">
        <v>3463</v>
      </c>
    </row>
    <row customHeight="1" ht="11.25">
      <c r="A105" s="374" t="s">
        <v>16</v>
      </c>
      <c r="B105" s="0" t="s">
        <v>3450</v>
      </c>
      <c r="C105" s="0" t="s">
        <v>3451</v>
      </c>
      <c r="D105" s="0" t="s">
        <v>3450</v>
      </c>
      <c r="E105" s="0" t="s">
        <v>3451</v>
      </c>
      <c r="F105" s="0" t="s">
        <v>3238</v>
      </c>
      <c r="G105" s="0" t="s">
        <v>3464</v>
      </c>
    </row>
    <row customHeight="1" ht="11.25">
      <c r="A106" s="374" t="s">
        <v>16</v>
      </c>
      <c r="B106" s="0" t="s">
        <v>3450</v>
      </c>
      <c r="C106" s="0" t="s">
        <v>3451</v>
      </c>
      <c r="D106" s="0" t="s">
        <v>3465</v>
      </c>
      <c r="E106" s="0" t="s">
        <v>3466</v>
      </c>
      <c r="F106" s="0" t="s">
        <v>3237</v>
      </c>
      <c r="G106" s="0" t="s">
        <v>3467</v>
      </c>
    </row>
    <row customHeight="1" ht="11.25">
      <c r="A107" s="374" t="s">
        <v>16</v>
      </c>
      <c r="B107" s="0" t="s">
        <v>3468</v>
      </c>
      <c r="C107" s="0" t="s">
        <v>3469</v>
      </c>
      <c r="D107" s="0" t="s">
        <v>3468</v>
      </c>
      <c r="E107" s="0" t="s">
        <v>3469</v>
      </c>
      <c r="F107" s="0" t="s">
        <v>3222</v>
      </c>
      <c r="G107" s="0" t="s">
        <v>3470</v>
      </c>
    </row>
    <row customHeight="1" ht="11.25">
      <c r="A108" s="374" t="s">
        <v>16</v>
      </c>
      <c r="B108" s="0" t="s">
        <v>3471</v>
      </c>
      <c r="C108" s="0" t="s">
        <v>3472</v>
      </c>
      <c r="D108" s="0" t="s">
        <v>3471</v>
      </c>
      <c r="E108" s="0" t="s">
        <v>3472</v>
      </c>
      <c r="F108" s="0" t="s">
        <v>3222</v>
      </c>
      <c r="G108" s="0" t="s">
        <v>3473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5DCA01-5458-72E8-E1AA-BEF4ADBAC858}" mc:Ignorable="x14ac xr xr2 xr3">
  <sheetPr>
    <tabColor rgb="FFFFCC99"/>
  </sheetPr>
  <dimension ref="A1:I19"/>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3474</v>
      </c>
      <c r="B1" s="836" t="s">
        <v>3475</v>
      </c>
      <c r="C1" s="1160" t="s">
        <v>3476</v>
      </c>
      <c r="D1" s="836" t="s">
        <v>3477</v>
      </c>
      <c r="E1" s="836" t="s">
        <v>3478</v>
      </c>
      <c r="F1" s="1160" t="s">
        <v>3479</v>
      </c>
      <c r="G1" s="1160" t="s">
        <v>3480</v>
      </c>
      <c r="H1" s="1160" t="s">
        <v>3481</v>
      </c>
      <c r="I1" s="1160" t="s">
        <v>3482</v>
      </c>
    </row>
    <row customHeight="1" ht="11.25">
      <c r="A2" s="1692" t="s">
        <v>124</v>
      </c>
      <c r="B2" s="1692" t="s">
        <v>3483</v>
      </c>
      <c r="C2" s="1692" t="s">
        <v>28</v>
      </c>
      <c r="D2" s="1692" t="s">
        <v>3484</v>
      </c>
      <c r="E2" s="1692" t="s">
        <v>3485</v>
      </c>
      <c r="F2" s="1692" t="s">
        <v>28</v>
      </c>
      <c r="G2" s="1692" t="s">
        <v>28</v>
      </c>
      <c r="H2" s="1692" t="s">
        <v>28</v>
      </c>
      <c r="I2" s="1692" t="s">
        <v>28</v>
      </c>
    </row>
    <row customHeight="1" ht="11.25">
      <c r="A3" s="1692" t="s">
        <v>107</v>
      </c>
      <c r="B3" s="1692" t="s">
        <v>3486</v>
      </c>
      <c r="C3" s="1692" t="s">
        <v>28</v>
      </c>
      <c r="D3" s="1692" t="s">
        <v>3484</v>
      </c>
      <c r="E3" s="1692" t="s">
        <v>3487</v>
      </c>
      <c r="F3" s="1692" t="s">
        <v>28</v>
      </c>
      <c r="G3" s="1692" t="s">
        <v>28</v>
      </c>
      <c r="H3" s="1692" t="s">
        <v>28</v>
      </c>
      <c r="I3" s="1692" t="s">
        <v>28</v>
      </c>
    </row>
    <row customHeight="1" ht="11.25">
      <c r="A4" s="1692" t="s">
        <v>93</v>
      </c>
      <c r="B4" s="1692" t="s">
        <v>3488</v>
      </c>
      <c r="C4" s="1692" t="s">
        <v>28</v>
      </c>
      <c r="D4" s="1692" t="s">
        <v>3489</v>
      </c>
      <c r="E4" s="1692" t="s">
        <v>3490</v>
      </c>
      <c r="F4" s="1692" t="s">
        <v>28</v>
      </c>
      <c r="G4" s="1692" t="s">
        <v>28</v>
      </c>
      <c r="H4" s="1692" t="s">
        <v>28</v>
      </c>
      <c r="I4" s="1692" t="s">
        <v>28</v>
      </c>
    </row>
    <row customHeight="1" ht="11.25">
      <c r="A5" s="1692" t="s">
        <v>94</v>
      </c>
      <c r="B5" s="1692" t="s">
        <v>3491</v>
      </c>
      <c r="C5" s="1692" t="s">
        <v>28</v>
      </c>
      <c r="D5" s="1692" t="s">
        <v>3492</v>
      </c>
      <c r="E5" s="1692" t="s">
        <v>3487</v>
      </c>
      <c r="F5" s="1692" t="s">
        <v>28</v>
      </c>
      <c r="G5" s="1692" t="s">
        <v>28</v>
      </c>
      <c r="H5" s="1692" t="s">
        <v>28</v>
      </c>
      <c r="I5" s="1692" t="s">
        <v>28</v>
      </c>
    </row>
    <row customHeight="1" ht="11.25">
      <c r="A6" s="1692" t="s">
        <v>125</v>
      </c>
      <c r="B6" s="1692" t="s">
        <v>3493</v>
      </c>
      <c r="C6" s="1692" t="s">
        <v>28</v>
      </c>
      <c r="D6" s="1692" t="s">
        <v>3492</v>
      </c>
      <c r="E6" s="1692" t="s">
        <v>3494</v>
      </c>
      <c r="F6" s="1692" t="s">
        <v>28</v>
      </c>
      <c r="G6" s="1692" t="s">
        <v>28</v>
      </c>
      <c r="H6" s="1692" t="s">
        <v>28</v>
      </c>
      <c r="I6" s="1692" t="s">
        <v>28</v>
      </c>
    </row>
    <row customHeight="1" ht="11.25">
      <c r="A7" s="1692" t="s">
        <v>95</v>
      </c>
      <c r="B7" s="1692" t="s">
        <v>3495</v>
      </c>
      <c r="C7" s="1692" t="s">
        <v>28</v>
      </c>
      <c r="D7" s="1692" t="s">
        <v>3496</v>
      </c>
      <c r="E7" s="1692" t="s">
        <v>3485</v>
      </c>
      <c r="F7" s="1692" t="s">
        <v>28</v>
      </c>
      <c r="G7" s="1692" t="s">
        <v>28</v>
      </c>
      <c r="H7" s="1692" t="s">
        <v>28</v>
      </c>
      <c r="I7" s="1692" t="s">
        <v>28</v>
      </c>
    </row>
    <row customHeight="1" ht="11.25">
      <c r="A8" s="1692" t="s">
        <v>96</v>
      </c>
      <c r="B8" s="1692" t="s">
        <v>3497</v>
      </c>
      <c r="C8" s="1692" t="s">
        <v>28</v>
      </c>
      <c r="D8" s="1692" t="s">
        <v>3492</v>
      </c>
      <c r="E8" s="1692" t="s">
        <v>3487</v>
      </c>
      <c r="F8" s="1692" t="s">
        <v>28</v>
      </c>
      <c r="G8" s="1692" t="s">
        <v>28</v>
      </c>
      <c r="H8" s="1692" t="s">
        <v>28</v>
      </c>
      <c r="I8" s="1692" t="s">
        <v>28</v>
      </c>
    </row>
    <row customHeight="1" ht="11.25">
      <c r="A9" s="1692" t="s">
        <v>126</v>
      </c>
      <c r="B9" s="1692" t="s">
        <v>3498</v>
      </c>
      <c r="C9" s="1692" t="s">
        <v>28</v>
      </c>
      <c r="D9" s="1692" t="s">
        <v>3492</v>
      </c>
      <c r="E9" s="1692" t="s">
        <v>3494</v>
      </c>
      <c r="F9" s="1692" t="s">
        <v>28</v>
      </c>
      <c r="G9" s="1692" t="s">
        <v>28</v>
      </c>
      <c r="H9" s="1692" t="s">
        <v>28</v>
      </c>
      <c r="I9" s="1692" t="s">
        <v>28</v>
      </c>
    </row>
    <row customHeight="1" ht="11.25">
      <c r="A10" s="1692" t="s">
        <v>162</v>
      </c>
      <c r="B10" s="1692" t="s">
        <v>3499</v>
      </c>
      <c r="C10" s="1692" t="s">
        <v>28</v>
      </c>
      <c r="D10" s="1692" t="s">
        <v>3500</v>
      </c>
      <c r="E10" s="1692" t="s">
        <v>3494</v>
      </c>
      <c r="F10" s="1692" t="s">
        <v>28</v>
      </c>
      <c r="G10" s="1692" t="s">
        <v>28</v>
      </c>
      <c r="H10" s="1692" t="s">
        <v>28</v>
      </c>
      <c r="I10" s="1692" t="s">
        <v>28</v>
      </c>
    </row>
    <row customHeight="1" ht="11.25">
      <c r="A11" s="1692" t="s">
        <v>163</v>
      </c>
      <c r="B11" s="1692" t="s">
        <v>3501</v>
      </c>
      <c r="C11" s="1692" t="s">
        <v>28</v>
      </c>
      <c r="D11" s="1692" t="s">
        <v>3502</v>
      </c>
      <c r="E11" s="1692" t="s">
        <v>3503</v>
      </c>
      <c r="F11" s="1692" t="s">
        <v>28</v>
      </c>
      <c r="G11" s="1692" t="s">
        <v>28</v>
      </c>
      <c r="H11" s="1692" t="s">
        <v>28</v>
      </c>
      <c r="I11" s="1692" t="s">
        <v>28</v>
      </c>
    </row>
    <row customHeight="1" ht="11.25">
      <c r="A12" s="1692" t="s">
        <v>164</v>
      </c>
      <c r="B12" s="1692" t="s">
        <v>3504</v>
      </c>
      <c r="C12" s="1692" t="s">
        <v>28</v>
      </c>
      <c r="D12" s="1692" t="s">
        <v>3505</v>
      </c>
      <c r="E12" s="1692" t="s">
        <v>3503</v>
      </c>
      <c r="F12" s="1692" t="s">
        <v>28</v>
      </c>
      <c r="G12" s="1692" t="s">
        <v>28</v>
      </c>
      <c r="H12" s="1692" t="s">
        <v>28</v>
      </c>
      <c r="I12" s="1692" t="s">
        <v>28</v>
      </c>
    </row>
    <row customHeight="1" ht="11.25">
      <c r="A13" s="1692" t="s">
        <v>165</v>
      </c>
      <c r="B13" s="1692" t="s">
        <v>3506</v>
      </c>
      <c r="C13" s="1692" t="s">
        <v>28</v>
      </c>
      <c r="D13" s="1692" t="s">
        <v>3492</v>
      </c>
      <c r="E13" s="1692" t="s">
        <v>3494</v>
      </c>
      <c r="F13" s="1692" t="s">
        <v>28</v>
      </c>
      <c r="G13" s="1692" t="s">
        <v>28</v>
      </c>
      <c r="H13" s="1692" t="s">
        <v>28</v>
      </c>
      <c r="I13" s="1692" t="s">
        <v>28</v>
      </c>
    </row>
    <row customHeight="1" ht="11.25">
      <c r="A14" s="1692" t="s">
        <v>166</v>
      </c>
      <c r="B14" s="1692" t="s">
        <v>3507</v>
      </c>
      <c r="C14" s="1692" t="s">
        <v>28</v>
      </c>
      <c r="D14" s="1692" t="s">
        <v>3484</v>
      </c>
      <c r="E14" s="1692" t="s">
        <v>3487</v>
      </c>
      <c r="F14" s="1692" t="s">
        <v>28</v>
      </c>
      <c r="G14" s="1692" t="s">
        <v>28</v>
      </c>
      <c r="H14" s="1692" t="s">
        <v>28</v>
      </c>
      <c r="I14" s="1692" t="s">
        <v>28</v>
      </c>
    </row>
    <row customHeight="1" ht="11.25">
      <c r="A15" s="1692" t="s">
        <v>167</v>
      </c>
      <c r="B15" s="1692" t="s">
        <v>3508</v>
      </c>
      <c r="C15" s="1692" t="s">
        <v>28</v>
      </c>
      <c r="D15" s="1692" t="s">
        <v>3492</v>
      </c>
      <c r="E15" s="1692" t="s">
        <v>3494</v>
      </c>
      <c r="F15" s="1692" t="s">
        <v>28</v>
      </c>
      <c r="G15" s="1692" t="s">
        <v>28</v>
      </c>
      <c r="H15" s="1692" t="s">
        <v>28</v>
      </c>
      <c r="I15" s="1692" t="s">
        <v>28</v>
      </c>
    </row>
    <row customHeight="1" ht="11.25">
      <c r="A16" s="1692" t="s">
        <v>1499</v>
      </c>
      <c r="B16" s="1692" t="s">
        <v>3509</v>
      </c>
      <c r="C16" s="1692" t="s">
        <v>28</v>
      </c>
      <c r="D16" s="1692" t="s">
        <v>3492</v>
      </c>
      <c r="E16" s="1692" t="s">
        <v>3494</v>
      </c>
      <c r="F16" s="1692" t="s">
        <v>28</v>
      </c>
      <c r="G16" s="1692" t="s">
        <v>28</v>
      </c>
      <c r="H16" s="1692" t="s">
        <v>28</v>
      </c>
      <c r="I16" s="1692" t="s">
        <v>28</v>
      </c>
    </row>
    <row customHeight="1" ht="11.25">
      <c r="A17" s="1692" t="s">
        <v>1505</v>
      </c>
      <c r="B17" s="1692" t="s">
        <v>3510</v>
      </c>
      <c r="C17" s="1692" t="s">
        <v>28</v>
      </c>
      <c r="D17" s="1692" t="s">
        <v>3511</v>
      </c>
      <c r="E17" s="1692" t="s">
        <v>3512</v>
      </c>
      <c r="F17" s="1692" t="s">
        <v>28</v>
      </c>
      <c r="G17" s="1692" t="s">
        <v>28</v>
      </c>
      <c r="H17" s="1692" t="s">
        <v>28</v>
      </c>
      <c r="I17" s="1692" t="s">
        <v>28</v>
      </c>
    </row>
    <row customHeight="1" ht="11.25">
      <c r="A18" s="1692" t="s">
        <v>1517</v>
      </c>
      <c r="B18" s="1692" t="s">
        <v>3513</v>
      </c>
      <c r="C18" s="1692" t="s">
        <v>28</v>
      </c>
      <c r="D18" s="1692" t="s">
        <v>3505</v>
      </c>
      <c r="E18" s="1692" t="s">
        <v>3514</v>
      </c>
      <c r="F18" s="1692" t="s">
        <v>28</v>
      </c>
      <c r="G18" s="1692" t="s">
        <v>28</v>
      </c>
      <c r="H18" s="1692" t="s">
        <v>28</v>
      </c>
      <c r="I18" s="1692" t="s">
        <v>28</v>
      </c>
    </row>
    <row customHeight="1" ht="11.25">
      <c r="A19" s="1692" t="s">
        <v>102</v>
      </c>
      <c r="B19" s="1692" t="s">
        <v>3515</v>
      </c>
      <c r="C19" s="1692" t="s">
        <v>28</v>
      </c>
      <c r="D19" s="1692" t="s">
        <v>3516</v>
      </c>
      <c r="E19" s="1692" t="s">
        <v>3517</v>
      </c>
      <c r="F19" s="1692" t="s">
        <v>28</v>
      </c>
      <c r="G19" s="1692" t="s">
        <v>28</v>
      </c>
      <c r="H19" s="1692" t="s">
        <v>28</v>
      </c>
      <c r="I19" s="1692"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9E5DA8-8418-B168-D0A8-2A3E63F012BC}"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452B48-F9B8-C9EB-EA88-94959E8B6818}"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144</v>
      </c>
      <c r="B1" s="184" t="s">
        <v>3518</v>
      </c>
    </row>
    <row customHeight="1" ht="11.25">
      <c r="A2" s="184" t="s">
        <v>101</v>
      </c>
      <c r="B2" s="184" t="s">
        <v>3519</v>
      </c>
    </row>
    <row customHeight="1" ht="11.25">
      <c r="A3" s="184" t="s">
        <v>109</v>
      </c>
      <c r="B3" s="184" t="s">
        <v>3520</v>
      </c>
    </row>
    <row customHeight="1" ht="11.25">
      <c r="A4" s="184" t="s">
        <v>113</v>
      </c>
      <c r="B4" s="184" t="s">
        <v>3521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C62F8C-A797-1BCE-8288-D81265E4861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3522</v>
      </c>
      <c r="B1" s="836" t="s">
        <v>3523</v>
      </c>
    </row>
    <row customHeight="1" ht="11.25">
      <c r="A2" s="836">
        <v>4213775</v>
      </c>
      <c r="B2" s="836" t="s">
        <v>1258</v>
      </c>
    </row>
    <row customHeight="1" ht="11.25">
      <c r="A3" s="836">
        <v>4213784</v>
      </c>
      <c r="B3" s="836" t="s">
        <v>1291</v>
      </c>
    </row>
    <row customHeight="1" ht="11.25">
      <c r="A4" s="836">
        <v>4213781</v>
      </c>
      <c r="B4" s="836" t="s">
        <v>1284</v>
      </c>
    </row>
    <row customHeight="1" ht="11.25">
      <c r="A5" s="836">
        <v>4213776</v>
      </c>
      <c r="B5" s="836" t="s">
        <v>180</v>
      </c>
    </row>
    <row customHeight="1" ht="11.25">
      <c r="A6" s="836">
        <v>4213777</v>
      </c>
      <c r="B6" s="836" t="s">
        <v>186</v>
      </c>
    </row>
    <row customHeight="1" ht="11.25">
      <c r="A7" s="836">
        <v>4213778</v>
      </c>
      <c r="B7" s="836" t="s">
        <v>192</v>
      </c>
    </row>
    <row customHeight="1" ht="11.25">
      <c r="A8" s="836">
        <v>4213780</v>
      </c>
      <c r="B8" s="836" t="s">
        <v>198</v>
      </c>
    </row>
    <row customHeight="1" ht="11.25">
      <c r="A9" s="836">
        <v>4213779</v>
      </c>
      <c r="B9" s="836" t="s">
        <v>1424</v>
      </c>
    </row>
    <row customHeight="1" ht="11.25">
      <c r="A10" s="836">
        <v>4213783</v>
      </c>
      <c r="B10" s="836" t="s">
        <v>1439</v>
      </c>
    </row>
    <row customHeight="1" ht="11.25">
      <c r="A11" s="836">
        <v>4213782</v>
      </c>
      <c r="B11" s="836" t="s">
        <v>204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690E4F-1E46-08D8-6CD8-035795E43FD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3522</v>
      </c>
      <c r="B1" s="836" t="s">
        <v>3524</v>
      </c>
    </row>
    <row customHeight="1" ht="11.25">
      <c r="A2" s="836" t="s">
        <v>3525</v>
      </c>
      <c r="B2" s="836" t="s">
        <v>1536</v>
      </c>
    </row>
    <row customHeight="1" ht="11.25">
      <c r="A3" s="836" t="s">
        <v>3526</v>
      </c>
      <c r="B3" s="836" t="s">
        <v>1546</v>
      </c>
    </row>
    <row customHeight="1" ht="11.25">
      <c r="A4" s="836" t="s">
        <v>3527</v>
      </c>
      <c r="B4" s="836" t="s">
        <v>1555</v>
      </c>
    </row>
    <row customHeight="1" ht="11.25">
      <c r="A5" s="836" t="s">
        <v>3528</v>
      </c>
      <c r="B5" s="836" t="s">
        <v>1564</v>
      </c>
    </row>
    <row customHeight="1" ht="11.25">
      <c r="A6" s="836" t="s">
        <v>3529</v>
      </c>
      <c r="B6" s="836" t="s">
        <v>1570</v>
      </c>
    </row>
    <row customHeight="1" ht="11.25">
      <c r="A7" s="836" t="s">
        <v>3530</v>
      </c>
      <c r="B7" s="836" t="s">
        <v>1578</v>
      </c>
    </row>
    <row customHeight="1" ht="11.25">
      <c r="A8" s="836" t="s">
        <v>3531</v>
      </c>
      <c r="B8" s="836" t="s">
        <v>1585</v>
      </c>
    </row>
    <row customHeight="1" ht="11.25">
      <c r="A9" s="836" t="s">
        <v>3532</v>
      </c>
      <c r="B9" s="836" t="s">
        <v>1591</v>
      </c>
    </row>
    <row customHeight="1" ht="11.25">
      <c r="A10" s="836" t="s">
        <v>3533</v>
      </c>
      <c r="B10" s="836" t="s">
        <v>1595</v>
      </c>
    </row>
    <row customHeight="1" ht="11.25">
      <c r="A11" s="836" t="s">
        <v>3534</v>
      </c>
      <c r="B11" s="836" t="s">
        <v>1602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F68F18-E382-6408-F057-1611EDE4ACC8}" mc:Ignorable="x14ac xr xr2 xr3">
  <sheetPr>
    <tabColor rgb="FFFFCC99"/>
  </sheetPr>
  <dimension ref="A1:G108"/>
  <sheetViews>
    <sheetView topLeftCell="A1" showGridLines="0" workbookViewId="0">
      <selection activeCell="A1" sqref="A1"/>
    </sheetView>
  </sheetViews>
  <sheetFormatPr customHeight="1" defaultRowHeight="11.25"/>
  <sheetData>
    <row customHeight="1" ht="11.25">
      <c r="A1" s="374" t="s">
        <v>3210</v>
      </c>
      <c r="B1" s="374" t="s">
        <v>3211</v>
      </c>
      <c r="C1" s="374" t="s">
        <v>3212</v>
      </c>
      <c r="D1" s="374" t="s">
        <v>3213</v>
      </c>
      <c r="E1" s="0" t="s">
        <v>3214</v>
      </c>
      <c r="F1" s="0" t="s">
        <v>3215</v>
      </c>
      <c r="G1" s="0" t="s">
        <v>3216</v>
      </c>
    </row>
    <row customHeight="1" ht="11.25">
      <c r="A2" s="0" t="s">
        <v>16</v>
      </c>
      <c r="B2" s="0" t="s">
        <v>3217</v>
      </c>
      <c r="C2" s="0" t="s">
        <v>3218</v>
      </c>
      <c r="D2" s="0" t="s">
        <v>3217</v>
      </c>
      <c r="E2" s="0" t="s">
        <v>3218</v>
      </c>
      <c r="F2" s="0" t="s">
        <v>3219</v>
      </c>
      <c r="G2" s="0" t="s">
        <v>124</v>
      </c>
    </row>
    <row customHeight="1" ht="11.25">
      <c r="A3" s="0" t="s">
        <v>16</v>
      </c>
      <c r="B3" s="0" t="s">
        <v>3220</v>
      </c>
      <c r="C3" s="0" t="s">
        <v>3221</v>
      </c>
      <c r="D3" s="0" t="s">
        <v>3220</v>
      </c>
      <c r="E3" s="0" t="s">
        <v>3221</v>
      </c>
      <c r="F3" s="0" t="s">
        <v>3222</v>
      </c>
      <c r="G3" s="0" t="s">
        <v>107</v>
      </c>
    </row>
    <row customHeight="1" ht="11.25">
      <c r="A4" s="0" t="s">
        <v>16</v>
      </c>
      <c r="B4" s="0" t="s">
        <v>3223</v>
      </c>
      <c r="C4" s="0" t="s">
        <v>3224</v>
      </c>
      <c r="D4" s="0" t="s">
        <v>3223</v>
      </c>
      <c r="E4" s="0" t="s">
        <v>3224</v>
      </c>
      <c r="F4" s="0" t="s">
        <v>3222</v>
      </c>
      <c r="G4" s="0" t="s">
        <v>93</v>
      </c>
    </row>
    <row customHeight="1" ht="11.25">
      <c r="A5" s="0" t="s">
        <v>16</v>
      </c>
      <c r="B5" s="0" t="s">
        <v>3225</v>
      </c>
      <c r="C5" s="0" t="s">
        <v>3226</v>
      </c>
      <c r="D5" s="0" t="s">
        <v>3225</v>
      </c>
      <c r="E5" s="0" t="s">
        <v>3226</v>
      </c>
      <c r="F5" s="0" t="s">
        <v>3222</v>
      </c>
      <c r="G5" s="0" t="s">
        <v>94</v>
      </c>
    </row>
    <row customHeight="1" ht="11.25">
      <c r="A6" s="0" t="s">
        <v>16</v>
      </c>
      <c r="B6" s="0" t="s">
        <v>3227</v>
      </c>
      <c r="C6" s="0" t="s">
        <v>3228</v>
      </c>
      <c r="D6" s="0" t="s">
        <v>3227</v>
      </c>
      <c r="E6" s="0" t="s">
        <v>3228</v>
      </c>
      <c r="F6" s="0" t="s">
        <v>3222</v>
      </c>
      <c r="G6" s="0" t="s">
        <v>125</v>
      </c>
    </row>
    <row customHeight="1" ht="11.25">
      <c r="A7" s="0" t="s">
        <v>16</v>
      </c>
      <c r="B7" s="0" t="s">
        <v>3229</v>
      </c>
      <c r="C7" s="0" t="s">
        <v>3230</v>
      </c>
      <c r="D7" s="0" t="s">
        <v>3229</v>
      </c>
      <c r="E7" s="0" t="s">
        <v>3230</v>
      </c>
      <c r="F7" s="0" t="s">
        <v>3222</v>
      </c>
      <c r="G7" s="0" t="s">
        <v>95</v>
      </c>
    </row>
    <row customHeight="1" ht="11.25">
      <c r="A8" s="0" t="s">
        <v>16</v>
      </c>
      <c r="B8" s="0" t="s">
        <v>3231</v>
      </c>
      <c r="C8" s="0" t="s">
        <v>3232</v>
      </c>
      <c r="D8" s="0" t="s">
        <v>3231</v>
      </c>
      <c r="E8" s="0" t="s">
        <v>3232</v>
      </c>
      <c r="F8" s="0" t="s">
        <v>3222</v>
      </c>
      <c r="G8" s="0" t="s">
        <v>96</v>
      </c>
    </row>
    <row customHeight="1" ht="11.25">
      <c r="A9" s="0" t="s">
        <v>16</v>
      </c>
      <c r="B9" s="0" t="s">
        <v>3233</v>
      </c>
      <c r="C9" s="0" t="s">
        <v>3234</v>
      </c>
      <c r="D9" s="0" t="s">
        <v>3235</v>
      </c>
      <c r="E9" s="0" t="s">
        <v>3236</v>
      </c>
      <c r="F9" s="0" t="s">
        <v>3237</v>
      </c>
      <c r="G9" s="0" t="s">
        <v>126</v>
      </c>
    </row>
    <row customHeight="1" ht="11.25">
      <c r="A10" s="0" t="s">
        <v>16</v>
      </c>
      <c r="B10" s="0" t="s">
        <v>3233</v>
      </c>
      <c r="C10" s="0" t="s">
        <v>3234</v>
      </c>
      <c r="D10" s="0" t="s">
        <v>3233</v>
      </c>
      <c r="E10" s="0" t="s">
        <v>3234</v>
      </c>
      <c r="F10" s="0" t="s">
        <v>3238</v>
      </c>
      <c r="G10" s="0" t="s">
        <v>162</v>
      </c>
    </row>
    <row customHeight="1" ht="11.25">
      <c r="A11" s="0" t="s">
        <v>16</v>
      </c>
      <c r="B11" s="0" t="s">
        <v>3233</v>
      </c>
      <c r="C11" s="0" t="s">
        <v>3234</v>
      </c>
      <c r="D11" s="0" t="s">
        <v>3239</v>
      </c>
      <c r="E11" s="0" t="s">
        <v>3240</v>
      </c>
      <c r="F11" s="0" t="s">
        <v>3237</v>
      </c>
      <c r="G11" s="0" t="s">
        <v>163</v>
      </c>
    </row>
    <row customHeight="1" ht="11.25">
      <c r="A12" s="0" t="s">
        <v>16</v>
      </c>
      <c r="B12" s="0" t="s">
        <v>3233</v>
      </c>
      <c r="C12" s="0" t="s">
        <v>3234</v>
      </c>
      <c r="D12" s="0" t="s">
        <v>3241</v>
      </c>
      <c r="E12" s="0" t="s">
        <v>3242</v>
      </c>
      <c r="F12" s="0" t="s">
        <v>3243</v>
      </c>
      <c r="G12" s="0" t="s">
        <v>164</v>
      </c>
    </row>
    <row customHeight="1" ht="11.25">
      <c r="A13" s="0" t="s">
        <v>16</v>
      </c>
      <c r="B13" s="0" t="s">
        <v>3233</v>
      </c>
      <c r="C13" s="0" t="s">
        <v>3234</v>
      </c>
      <c r="D13" s="0" t="s">
        <v>3244</v>
      </c>
      <c r="E13" s="0" t="s">
        <v>3245</v>
      </c>
      <c r="F13" s="0" t="s">
        <v>3237</v>
      </c>
      <c r="G13" s="0" t="s">
        <v>165</v>
      </c>
    </row>
    <row customHeight="1" ht="11.25">
      <c r="A14" s="0" t="s">
        <v>16</v>
      </c>
      <c r="B14" s="0" t="s">
        <v>3233</v>
      </c>
      <c r="C14" s="0" t="s">
        <v>3234</v>
      </c>
      <c r="D14" s="0" t="s">
        <v>3246</v>
      </c>
      <c r="E14" s="0" t="s">
        <v>3247</v>
      </c>
      <c r="F14" s="0" t="s">
        <v>3237</v>
      </c>
      <c r="G14" s="0" t="s">
        <v>166</v>
      </c>
    </row>
    <row customHeight="1" ht="11.25">
      <c r="A15" s="0" t="s">
        <v>16</v>
      </c>
      <c r="B15" s="0" t="s">
        <v>3233</v>
      </c>
      <c r="C15" s="0" t="s">
        <v>3234</v>
      </c>
      <c r="D15" s="0" t="s">
        <v>3248</v>
      </c>
      <c r="E15" s="0" t="s">
        <v>3249</v>
      </c>
      <c r="F15" s="0" t="s">
        <v>3237</v>
      </c>
      <c r="G15" s="0" t="s">
        <v>167</v>
      </c>
    </row>
    <row customHeight="1" ht="11.25">
      <c r="A16" s="0" t="s">
        <v>16</v>
      </c>
      <c r="B16" s="0" t="s">
        <v>3233</v>
      </c>
      <c r="C16" s="0" t="s">
        <v>3234</v>
      </c>
      <c r="D16" s="0" t="s">
        <v>3250</v>
      </c>
      <c r="E16" s="0" t="s">
        <v>3251</v>
      </c>
      <c r="F16" s="0" t="s">
        <v>3237</v>
      </c>
      <c r="G16" s="0" t="s">
        <v>1499</v>
      </c>
    </row>
    <row customHeight="1" ht="11.25">
      <c r="A17" s="0" t="s">
        <v>16</v>
      </c>
      <c r="B17" s="0" t="s">
        <v>3252</v>
      </c>
      <c r="C17" s="0" t="s">
        <v>3253</v>
      </c>
      <c r="D17" s="0" t="s">
        <v>3252</v>
      </c>
      <c r="E17" s="0" t="s">
        <v>3253</v>
      </c>
      <c r="F17" s="0" t="s">
        <v>3219</v>
      </c>
      <c r="G17" s="0" t="s">
        <v>1505</v>
      </c>
    </row>
    <row customHeight="1" ht="11.25">
      <c r="A18" s="0" t="s">
        <v>16</v>
      </c>
      <c r="B18" s="0" t="s">
        <v>103</v>
      </c>
      <c r="C18" s="0" t="s">
        <v>3254</v>
      </c>
      <c r="D18" s="0" t="s">
        <v>3255</v>
      </c>
      <c r="E18" s="0" t="s">
        <v>3256</v>
      </c>
      <c r="F18" s="0" t="s">
        <v>3237</v>
      </c>
      <c r="G18" s="0" t="s">
        <v>1517</v>
      </c>
    </row>
    <row customHeight="1" ht="11.25">
      <c r="A19" s="0" t="s">
        <v>16</v>
      </c>
      <c r="B19" s="0" t="s">
        <v>103</v>
      </c>
      <c r="C19" s="0" t="s">
        <v>3254</v>
      </c>
      <c r="D19" s="0" t="s">
        <v>104</v>
      </c>
      <c r="E19" s="0" t="s">
        <v>105</v>
      </c>
      <c r="F19" s="0" t="s">
        <v>3257</v>
      </c>
      <c r="G19" s="0" t="s">
        <v>102</v>
      </c>
    </row>
    <row customHeight="1" ht="11.25">
      <c r="A20" s="0" t="s">
        <v>16</v>
      </c>
      <c r="B20" s="0" t="s">
        <v>103</v>
      </c>
      <c r="C20" s="0" t="s">
        <v>3254</v>
      </c>
      <c r="D20" s="0" t="s">
        <v>103</v>
      </c>
      <c r="E20" s="0" t="s">
        <v>3254</v>
      </c>
      <c r="F20" s="0" t="s">
        <v>3238</v>
      </c>
      <c r="G20" s="0" t="s">
        <v>1542</v>
      </c>
    </row>
    <row customHeight="1" ht="11.25">
      <c r="A21" s="0" t="s">
        <v>16</v>
      </c>
      <c r="B21" s="0" t="s">
        <v>103</v>
      </c>
      <c r="C21" s="0" t="s">
        <v>3254</v>
      </c>
      <c r="D21" s="0" t="s">
        <v>3258</v>
      </c>
      <c r="E21" s="0" t="s">
        <v>3259</v>
      </c>
      <c r="F21" s="0" t="s">
        <v>3257</v>
      </c>
      <c r="G21" s="0" t="s">
        <v>1551</v>
      </c>
    </row>
    <row customHeight="1" ht="11.25">
      <c r="A22" s="0" t="s">
        <v>16</v>
      </c>
      <c r="B22" s="0" t="s">
        <v>103</v>
      </c>
      <c r="C22" s="0" t="s">
        <v>3254</v>
      </c>
      <c r="D22" s="0" t="s">
        <v>3260</v>
      </c>
      <c r="E22" s="0" t="s">
        <v>3261</v>
      </c>
      <c r="F22" s="0" t="s">
        <v>3237</v>
      </c>
      <c r="G22" s="0" t="s">
        <v>1567</v>
      </c>
    </row>
    <row customHeight="1" ht="11.25">
      <c r="A23" s="0" t="s">
        <v>16</v>
      </c>
      <c r="B23" s="0" t="s">
        <v>103</v>
      </c>
      <c r="C23" s="0" t="s">
        <v>3254</v>
      </c>
      <c r="D23" s="0" t="s">
        <v>3262</v>
      </c>
      <c r="E23" s="0" t="s">
        <v>3263</v>
      </c>
      <c r="F23" s="0" t="s">
        <v>3243</v>
      </c>
      <c r="G23" s="0" t="s">
        <v>1574</v>
      </c>
    </row>
    <row customHeight="1" ht="11.25">
      <c r="A24" s="0" t="s">
        <v>16</v>
      </c>
      <c r="B24" s="0" t="s">
        <v>103</v>
      </c>
      <c r="C24" s="0" t="s">
        <v>3254</v>
      </c>
      <c r="D24" s="0" t="s">
        <v>3264</v>
      </c>
      <c r="E24" s="0" t="s">
        <v>3265</v>
      </c>
      <c r="F24" s="0" t="s">
        <v>3237</v>
      </c>
      <c r="G24" s="0" t="s">
        <v>1582</v>
      </c>
    </row>
    <row customHeight="1" ht="11.25">
      <c r="A25" s="0" t="s">
        <v>16</v>
      </c>
      <c r="B25" s="0" t="s">
        <v>103</v>
      </c>
      <c r="C25" s="0" t="s">
        <v>3254</v>
      </c>
      <c r="D25" s="0" t="s">
        <v>3266</v>
      </c>
      <c r="E25" s="0" t="s">
        <v>3267</v>
      </c>
      <c r="F25" s="0" t="s">
        <v>3237</v>
      </c>
      <c r="G25" s="0" t="s">
        <v>1589</v>
      </c>
    </row>
    <row customHeight="1" ht="11.25">
      <c r="A26" s="0" t="s">
        <v>16</v>
      </c>
      <c r="B26" s="0" t="s">
        <v>3268</v>
      </c>
      <c r="C26" s="0" t="s">
        <v>3269</v>
      </c>
      <c r="D26" s="0" t="s">
        <v>3268</v>
      </c>
      <c r="E26" s="0" t="s">
        <v>3269</v>
      </c>
      <c r="F26" s="0" t="s">
        <v>3219</v>
      </c>
      <c r="G26" s="0" t="s">
        <v>1593</v>
      </c>
    </row>
    <row customHeight="1" ht="11.25">
      <c r="A27" s="0" t="s">
        <v>16</v>
      </c>
      <c r="B27" s="0" t="s">
        <v>115</v>
      </c>
      <c r="C27" s="0" t="s">
        <v>3270</v>
      </c>
      <c r="D27" s="0" t="s">
        <v>3271</v>
      </c>
      <c r="E27" s="0" t="s">
        <v>3272</v>
      </c>
      <c r="F27" s="0" t="s">
        <v>3257</v>
      </c>
      <c r="G27" s="0" t="s">
        <v>1598</v>
      </c>
    </row>
    <row customHeight="1" ht="11.25">
      <c r="A28" s="0" t="s">
        <v>16</v>
      </c>
      <c r="B28" s="0" t="s">
        <v>115</v>
      </c>
      <c r="C28" s="0" t="s">
        <v>3270</v>
      </c>
      <c r="D28" s="0" t="s">
        <v>3273</v>
      </c>
      <c r="E28" s="0" t="s">
        <v>3274</v>
      </c>
      <c r="F28" s="0" t="s">
        <v>3237</v>
      </c>
      <c r="G28" s="0" t="s">
        <v>1606</v>
      </c>
    </row>
    <row customHeight="1" ht="11.25">
      <c r="A29" s="0" t="s">
        <v>16</v>
      </c>
      <c r="B29" s="0" t="s">
        <v>115</v>
      </c>
      <c r="C29" s="0" t="s">
        <v>3270</v>
      </c>
      <c r="D29" s="0" t="s">
        <v>3275</v>
      </c>
      <c r="E29" s="0" t="s">
        <v>3276</v>
      </c>
      <c r="F29" s="0" t="s">
        <v>3237</v>
      </c>
      <c r="G29" s="0" t="s">
        <v>1608</v>
      </c>
    </row>
    <row customHeight="1" ht="11.25">
      <c r="A30" s="0" t="s">
        <v>16</v>
      </c>
      <c r="B30" s="0" t="s">
        <v>115</v>
      </c>
      <c r="C30" s="0" t="s">
        <v>3270</v>
      </c>
      <c r="D30" s="0" t="s">
        <v>3277</v>
      </c>
      <c r="E30" s="0" t="s">
        <v>3278</v>
      </c>
      <c r="F30" s="0" t="s">
        <v>3237</v>
      </c>
      <c r="G30" s="0" t="s">
        <v>1611</v>
      </c>
    </row>
    <row customHeight="1" ht="11.25">
      <c r="A31" s="0" t="s">
        <v>16</v>
      </c>
      <c r="B31" s="0" t="s">
        <v>115</v>
      </c>
      <c r="C31" s="0" t="s">
        <v>3270</v>
      </c>
      <c r="D31" s="0" t="s">
        <v>3279</v>
      </c>
      <c r="E31" s="0" t="s">
        <v>3280</v>
      </c>
      <c r="F31" s="0" t="s">
        <v>3237</v>
      </c>
      <c r="G31" s="0" t="s">
        <v>1617</v>
      </c>
    </row>
    <row customHeight="1" ht="11.25">
      <c r="A32" s="0" t="s">
        <v>16</v>
      </c>
      <c r="B32" s="0" t="s">
        <v>115</v>
      </c>
      <c r="C32" s="0" t="s">
        <v>3270</v>
      </c>
      <c r="D32" s="0" t="s">
        <v>115</v>
      </c>
      <c r="E32" s="0" t="s">
        <v>3270</v>
      </c>
      <c r="F32" s="0" t="s">
        <v>3238</v>
      </c>
      <c r="G32" s="0" t="s">
        <v>1619</v>
      </c>
    </row>
    <row customHeight="1" ht="11.25">
      <c r="A33" s="0" t="s">
        <v>16</v>
      </c>
      <c r="B33" s="0" t="s">
        <v>115</v>
      </c>
      <c r="C33" s="0" t="s">
        <v>3270</v>
      </c>
      <c r="D33" s="0" t="s">
        <v>3281</v>
      </c>
      <c r="E33" s="0" t="s">
        <v>3282</v>
      </c>
      <c r="F33" s="0" t="s">
        <v>3237</v>
      </c>
      <c r="G33" s="0" t="s">
        <v>1621</v>
      </c>
    </row>
    <row customHeight="1" ht="11.25">
      <c r="A34" s="0" t="s">
        <v>16</v>
      </c>
      <c r="B34" s="0" t="s">
        <v>115</v>
      </c>
      <c r="C34" s="0" t="s">
        <v>3270</v>
      </c>
      <c r="D34" s="0" t="s">
        <v>3283</v>
      </c>
      <c r="E34" s="0" t="s">
        <v>3284</v>
      </c>
      <c r="F34" s="0" t="s">
        <v>3237</v>
      </c>
      <c r="G34" s="0" t="s">
        <v>1623</v>
      </c>
    </row>
    <row customHeight="1" ht="11.25">
      <c r="A35" s="0" t="s">
        <v>16</v>
      </c>
      <c r="B35" s="0" t="s">
        <v>115</v>
      </c>
      <c r="C35" s="0" t="s">
        <v>3270</v>
      </c>
      <c r="D35" s="0" t="s">
        <v>3285</v>
      </c>
      <c r="E35" s="0" t="s">
        <v>3286</v>
      </c>
      <c r="F35" s="0" t="s">
        <v>3237</v>
      </c>
      <c r="G35" s="0" t="s">
        <v>1628</v>
      </c>
    </row>
    <row customHeight="1" ht="11.25">
      <c r="A36" s="0" t="s">
        <v>16</v>
      </c>
      <c r="B36" s="0" t="s">
        <v>115</v>
      </c>
      <c r="C36" s="0" t="s">
        <v>3270</v>
      </c>
      <c r="D36" s="0" t="s">
        <v>116</v>
      </c>
      <c r="E36" s="0" t="s">
        <v>117</v>
      </c>
      <c r="F36" s="0" t="s">
        <v>3237</v>
      </c>
      <c r="G36" s="0" t="s">
        <v>114</v>
      </c>
    </row>
    <row customHeight="1" ht="11.25">
      <c r="A37" s="0" t="s">
        <v>16</v>
      </c>
      <c r="B37" s="0" t="s">
        <v>115</v>
      </c>
      <c r="C37" s="0" t="s">
        <v>3270</v>
      </c>
      <c r="D37" s="0" t="s">
        <v>3287</v>
      </c>
      <c r="E37" s="0" t="s">
        <v>3288</v>
      </c>
      <c r="F37" s="0" t="s">
        <v>3237</v>
      </c>
      <c r="G37" s="0" t="s">
        <v>1636</v>
      </c>
    </row>
    <row customHeight="1" ht="11.25">
      <c r="A38" s="0" t="s">
        <v>16</v>
      </c>
      <c r="B38" s="0" t="s">
        <v>3289</v>
      </c>
      <c r="C38" s="0" t="s">
        <v>3290</v>
      </c>
      <c r="D38" s="0" t="s">
        <v>3289</v>
      </c>
      <c r="E38" s="0" t="s">
        <v>3290</v>
      </c>
      <c r="F38" s="0" t="s">
        <v>3219</v>
      </c>
      <c r="G38" s="0" t="s">
        <v>1644</v>
      </c>
    </row>
    <row customHeight="1" ht="11.25">
      <c r="A39" s="0" t="s">
        <v>16</v>
      </c>
      <c r="B39" s="0" t="s">
        <v>3291</v>
      </c>
      <c r="C39" s="0" t="s">
        <v>3292</v>
      </c>
      <c r="D39" s="0" t="s">
        <v>3291</v>
      </c>
      <c r="E39" s="0" t="s">
        <v>3292</v>
      </c>
      <c r="F39" s="0" t="s">
        <v>3222</v>
      </c>
      <c r="G39" s="0" t="s">
        <v>1650</v>
      </c>
    </row>
    <row customHeight="1" ht="11.25">
      <c r="A40" s="0" t="s">
        <v>16</v>
      </c>
      <c r="B40" s="0" t="s">
        <v>3293</v>
      </c>
      <c r="C40" s="0" t="s">
        <v>3294</v>
      </c>
      <c r="D40" s="0" t="s">
        <v>3293</v>
      </c>
      <c r="E40" s="0" t="s">
        <v>3294</v>
      </c>
      <c r="F40" s="0" t="s">
        <v>3219</v>
      </c>
      <c r="G40" s="0" t="s">
        <v>1655</v>
      </c>
    </row>
    <row customHeight="1" ht="11.25">
      <c r="A41" s="0" t="s">
        <v>16</v>
      </c>
      <c r="B41" s="0" t="s">
        <v>3295</v>
      </c>
      <c r="C41" s="0" t="s">
        <v>3296</v>
      </c>
      <c r="D41" s="0" t="s">
        <v>3297</v>
      </c>
      <c r="E41" s="0" t="s">
        <v>3298</v>
      </c>
      <c r="F41" s="0" t="s">
        <v>3237</v>
      </c>
      <c r="G41" s="0" t="s">
        <v>1659</v>
      </c>
    </row>
    <row customHeight="1" ht="11.25">
      <c r="A42" s="0" t="s">
        <v>16</v>
      </c>
      <c r="B42" s="0" t="s">
        <v>3295</v>
      </c>
      <c r="C42" s="0" t="s">
        <v>3296</v>
      </c>
      <c r="D42" s="0" t="s">
        <v>3299</v>
      </c>
      <c r="E42" s="0" t="s">
        <v>3300</v>
      </c>
      <c r="F42" s="0" t="s">
        <v>3237</v>
      </c>
      <c r="G42" s="0" t="s">
        <v>1662</v>
      </c>
    </row>
    <row customHeight="1" ht="11.25">
      <c r="A43" s="0" t="s">
        <v>16</v>
      </c>
      <c r="B43" s="0" t="s">
        <v>3295</v>
      </c>
      <c r="C43" s="0" t="s">
        <v>3296</v>
      </c>
      <c r="D43" s="0" t="s">
        <v>3301</v>
      </c>
      <c r="E43" s="0" t="s">
        <v>3302</v>
      </c>
      <c r="F43" s="0" t="s">
        <v>3237</v>
      </c>
      <c r="G43" s="0" t="s">
        <v>1669</v>
      </c>
    </row>
    <row customHeight="1" ht="11.25">
      <c r="A44" s="0" t="s">
        <v>16</v>
      </c>
      <c r="B44" s="0" t="s">
        <v>3295</v>
      </c>
      <c r="C44" s="0" t="s">
        <v>3296</v>
      </c>
      <c r="D44" s="0" t="s">
        <v>3295</v>
      </c>
      <c r="E44" s="0" t="s">
        <v>3296</v>
      </c>
      <c r="F44" s="0" t="s">
        <v>3238</v>
      </c>
      <c r="G44" s="0" t="s">
        <v>1678</v>
      </c>
    </row>
    <row customHeight="1" ht="11.25">
      <c r="A45" s="0" t="s">
        <v>16</v>
      </c>
      <c r="B45" s="0" t="s">
        <v>3295</v>
      </c>
      <c r="C45" s="0" t="s">
        <v>3296</v>
      </c>
      <c r="D45" s="0" t="s">
        <v>3303</v>
      </c>
      <c r="E45" s="0" t="s">
        <v>3304</v>
      </c>
      <c r="F45" s="0" t="s">
        <v>3237</v>
      </c>
      <c r="G45" s="0" t="s">
        <v>1683</v>
      </c>
    </row>
    <row customHeight="1" ht="11.25">
      <c r="A46" s="0" t="s">
        <v>16</v>
      </c>
      <c r="B46" s="0" t="s">
        <v>3295</v>
      </c>
      <c r="C46" s="0" t="s">
        <v>3296</v>
      </c>
      <c r="D46" s="0" t="s">
        <v>3305</v>
      </c>
      <c r="E46" s="0" t="s">
        <v>3306</v>
      </c>
      <c r="F46" s="0" t="s">
        <v>3257</v>
      </c>
      <c r="G46" s="0" t="s">
        <v>1687</v>
      </c>
    </row>
    <row customHeight="1" ht="11.25">
      <c r="A47" s="0" t="s">
        <v>16</v>
      </c>
      <c r="B47" s="0" t="s">
        <v>3295</v>
      </c>
      <c r="C47" s="0" t="s">
        <v>3296</v>
      </c>
      <c r="D47" s="0" t="s">
        <v>3307</v>
      </c>
      <c r="E47" s="0" t="s">
        <v>3308</v>
      </c>
      <c r="F47" s="0" t="s">
        <v>3237</v>
      </c>
      <c r="G47" s="0" t="s">
        <v>1693</v>
      </c>
    </row>
    <row customHeight="1" ht="11.25">
      <c r="A48" s="0" t="s">
        <v>16</v>
      </c>
      <c r="B48" s="0" t="s">
        <v>3295</v>
      </c>
      <c r="C48" s="0" t="s">
        <v>3296</v>
      </c>
      <c r="D48" s="0" t="s">
        <v>3309</v>
      </c>
      <c r="E48" s="0" t="s">
        <v>3310</v>
      </c>
      <c r="F48" s="0" t="s">
        <v>3237</v>
      </c>
      <c r="G48" s="0" t="s">
        <v>1697</v>
      </c>
    </row>
    <row customHeight="1" ht="11.25">
      <c r="A49" s="0" t="s">
        <v>16</v>
      </c>
      <c r="B49" s="0" t="s">
        <v>3311</v>
      </c>
      <c r="C49" s="0" t="s">
        <v>3312</v>
      </c>
      <c r="D49" s="0" t="s">
        <v>3311</v>
      </c>
      <c r="E49" s="0" t="s">
        <v>3312</v>
      </c>
      <c r="F49" s="0" t="s">
        <v>3238</v>
      </c>
      <c r="G49" s="0" t="s">
        <v>1700</v>
      </c>
    </row>
    <row customHeight="1" ht="11.25">
      <c r="A50" s="0" t="s">
        <v>16</v>
      </c>
      <c r="B50" s="0" t="s">
        <v>3311</v>
      </c>
      <c r="C50" s="0" t="s">
        <v>3312</v>
      </c>
      <c r="D50" s="0" t="s">
        <v>3313</v>
      </c>
      <c r="E50" s="0" t="s">
        <v>3314</v>
      </c>
      <c r="F50" s="0" t="s">
        <v>3237</v>
      </c>
      <c r="G50" s="0" t="s">
        <v>1704</v>
      </c>
    </row>
    <row customHeight="1" ht="11.25">
      <c r="A51" s="0" t="s">
        <v>16</v>
      </c>
      <c r="B51" s="0" t="s">
        <v>3311</v>
      </c>
      <c r="C51" s="0" t="s">
        <v>3312</v>
      </c>
      <c r="D51" s="0" t="s">
        <v>3315</v>
      </c>
      <c r="E51" s="0" t="s">
        <v>3316</v>
      </c>
      <c r="F51" s="0" t="s">
        <v>3237</v>
      </c>
      <c r="G51" s="0" t="s">
        <v>1708</v>
      </c>
    </row>
    <row customHeight="1" ht="11.25">
      <c r="A52" s="0" t="s">
        <v>16</v>
      </c>
      <c r="B52" s="0" t="s">
        <v>3311</v>
      </c>
      <c r="C52" s="0" t="s">
        <v>3312</v>
      </c>
      <c r="D52" s="0" t="s">
        <v>3317</v>
      </c>
      <c r="E52" s="0" t="s">
        <v>3318</v>
      </c>
      <c r="F52" s="0" t="s">
        <v>3237</v>
      </c>
      <c r="G52" s="0" t="s">
        <v>1712</v>
      </c>
    </row>
    <row customHeight="1" ht="11.25">
      <c r="A53" s="0" t="s">
        <v>16</v>
      </c>
      <c r="B53" s="0" t="s">
        <v>3319</v>
      </c>
      <c r="C53" s="0" t="s">
        <v>3320</v>
      </c>
      <c r="D53" s="0" t="s">
        <v>3319</v>
      </c>
      <c r="E53" s="0" t="s">
        <v>3320</v>
      </c>
      <c r="F53" s="0" t="s">
        <v>3222</v>
      </c>
      <c r="G53" s="0" t="s">
        <v>1714</v>
      </c>
    </row>
    <row customHeight="1" ht="11.25">
      <c r="A54" s="0" t="s">
        <v>16</v>
      </c>
      <c r="B54" s="0" t="s">
        <v>3321</v>
      </c>
      <c r="C54" s="0" t="s">
        <v>3322</v>
      </c>
      <c r="D54" s="0" t="s">
        <v>3321</v>
      </c>
      <c r="E54" s="0" t="s">
        <v>3322</v>
      </c>
      <c r="F54" s="0" t="s">
        <v>3219</v>
      </c>
      <c r="G54" s="0" t="s">
        <v>1717</v>
      </c>
    </row>
    <row customHeight="1" ht="11.25">
      <c r="A55" s="0" t="s">
        <v>16</v>
      </c>
      <c r="B55" s="0" t="s">
        <v>3323</v>
      </c>
      <c r="C55" s="0" t="s">
        <v>3324</v>
      </c>
      <c r="D55" s="0" t="s">
        <v>3323</v>
      </c>
      <c r="E55" s="0" t="s">
        <v>3324</v>
      </c>
      <c r="F55" s="0" t="s">
        <v>3219</v>
      </c>
      <c r="G55" s="0" t="s">
        <v>1722</v>
      </c>
    </row>
    <row customHeight="1" ht="11.25">
      <c r="A56" s="0" t="s">
        <v>16</v>
      </c>
      <c r="B56" s="0" t="s">
        <v>3325</v>
      </c>
      <c r="C56" s="0" t="s">
        <v>3326</v>
      </c>
      <c r="D56" s="0" t="s">
        <v>3325</v>
      </c>
      <c r="E56" s="0" t="s">
        <v>3326</v>
      </c>
      <c r="F56" s="0" t="s">
        <v>3222</v>
      </c>
      <c r="G56" s="0" t="s">
        <v>1725</v>
      </c>
    </row>
    <row customHeight="1" ht="11.25">
      <c r="A57" s="0" t="s">
        <v>16</v>
      </c>
      <c r="B57" s="0" t="s">
        <v>3327</v>
      </c>
      <c r="C57" s="0" t="s">
        <v>3328</v>
      </c>
      <c r="D57" s="0" t="s">
        <v>3327</v>
      </c>
      <c r="E57" s="0" t="s">
        <v>3328</v>
      </c>
      <c r="F57" s="0" t="s">
        <v>3219</v>
      </c>
      <c r="G57" s="0" t="s">
        <v>1728</v>
      </c>
    </row>
    <row customHeight="1" ht="11.25">
      <c r="A58" s="0" t="s">
        <v>16</v>
      </c>
      <c r="B58" s="0" t="s">
        <v>3329</v>
      </c>
      <c r="C58" s="0" t="s">
        <v>3330</v>
      </c>
      <c r="D58" s="0" t="s">
        <v>3331</v>
      </c>
      <c r="E58" s="0" t="s">
        <v>3332</v>
      </c>
      <c r="F58" s="0" t="s">
        <v>3237</v>
      </c>
      <c r="G58" s="0" t="s">
        <v>1731</v>
      </c>
    </row>
    <row customHeight="1" ht="11.25">
      <c r="A59" s="0" t="s">
        <v>16</v>
      </c>
      <c r="B59" s="0" t="s">
        <v>3329</v>
      </c>
      <c r="C59" s="0" t="s">
        <v>3330</v>
      </c>
      <c r="D59" s="0" t="s">
        <v>3333</v>
      </c>
      <c r="E59" s="0" t="s">
        <v>3334</v>
      </c>
      <c r="F59" s="0" t="s">
        <v>3237</v>
      </c>
      <c r="G59" s="0" t="s">
        <v>1735</v>
      </c>
    </row>
    <row customHeight="1" ht="11.25">
      <c r="A60" s="0" t="s">
        <v>16</v>
      </c>
      <c r="B60" s="0" t="s">
        <v>3329</v>
      </c>
      <c r="C60" s="0" t="s">
        <v>3330</v>
      </c>
      <c r="D60" s="0" t="s">
        <v>3335</v>
      </c>
      <c r="E60" s="0" t="s">
        <v>3336</v>
      </c>
      <c r="F60" s="0" t="s">
        <v>3237</v>
      </c>
      <c r="G60" s="0" t="s">
        <v>1739</v>
      </c>
    </row>
    <row customHeight="1" ht="11.25">
      <c r="A61" s="0" t="s">
        <v>16</v>
      </c>
      <c r="B61" s="0" t="s">
        <v>3329</v>
      </c>
      <c r="C61" s="0" t="s">
        <v>3330</v>
      </c>
      <c r="D61" s="0" t="s">
        <v>3337</v>
      </c>
      <c r="E61" s="0" t="s">
        <v>3338</v>
      </c>
      <c r="F61" s="0" t="s">
        <v>3243</v>
      </c>
      <c r="G61" s="0" t="s">
        <v>3339</v>
      </c>
    </row>
    <row customHeight="1" ht="11.25">
      <c r="A62" s="0" t="s">
        <v>16</v>
      </c>
      <c r="B62" s="0" t="s">
        <v>3329</v>
      </c>
      <c r="C62" s="0" t="s">
        <v>3330</v>
      </c>
      <c r="D62" s="0" t="s">
        <v>3340</v>
      </c>
      <c r="E62" s="0" t="s">
        <v>3341</v>
      </c>
      <c r="F62" s="0" t="s">
        <v>3237</v>
      </c>
      <c r="G62" s="0" t="s">
        <v>3342</v>
      </c>
    </row>
    <row customHeight="1" ht="11.25">
      <c r="A63" s="0" t="s">
        <v>16</v>
      </c>
      <c r="B63" s="0" t="s">
        <v>3329</v>
      </c>
      <c r="C63" s="0" t="s">
        <v>3330</v>
      </c>
      <c r="D63" s="0" t="s">
        <v>3343</v>
      </c>
      <c r="E63" s="0" t="s">
        <v>3344</v>
      </c>
      <c r="F63" s="0" t="s">
        <v>3237</v>
      </c>
      <c r="G63" s="0" t="s">
        <v>3345</v>
      </c>
    </row>
    <row customHeight="1" ht="11.25">
      <c r="A64" s="0" t="s">
        <v>16</v>
      </c>
      <c r="B64" s="0" t="s">
        <v>3329</v>
      </c>
      <c r="C64" s="0" t="s">
        <v>3330</v>
      </c>
      <c r="D64" s="0" t="s">
        <v>3329</v>
      </c>
      <c r="E64" s="0" t="s">
        <v>3330</v>
      </c>
      <c r="F64" s="0" t="s">
        <v>3238</v>
      </c>
      <c r="G64" s="0" t="s">
        <v>3346</v>
      </c>
    </row>
    <row customHeight="1" ht="11.25">
      <c r="A65" s="0" t="s">
        <v>16</v>
      </c>
      <c r="B65" s="0" t="s">
        <v>3329</v>
      </c>
      <c r="C65" s="0" t="s">
        <v>3330</v>
      </c>
      <c r="D65" s="0" t="s">
        <v>3347</v>
      </c>
      <c r="E65" s="0" t="s">
        <v>3348</v>
      </c>
      <c r="F65" s="0" t="s">
        <v>3237</v>
      </c>
      <c r="G65" s="0" t="s">
        <v>3349</v>
      </c>
    </row>
    <row customHeight="1" ht="11.25">
      <c r="A66" s="0" t="s">
        <v>16</v>
      </c>
      <c r="B66" s="0" t="s">
        <v>3350</v>
      </c>
      <c r="C66" s="0" t="s">
        <v>3351</v>
      </c>
      <c r="D66" s="0" t="s">
        <v>3350</v>
      </c>
      <c r="E66" s="0" t="s">
        <v>3351</v>
      </c>
      <c r="F66" s="0" t="s">
        <v>3219</v>
      </c>
      <c r="G66" s="0" t="s">
        <v>3352</v>
      </c>
    </row>
    <row customHeight="1" ht="11.25">
      <c r="A67" s="0" t="s">
        <v>16</v>
      </c>
      <c r="B67" s="0" t="s">
        <v>3353</v>
      </c>
      <c r="C67" s="0" t="s">
        <v>3354</v>
      </c>
      <c r="D67" s="0" t="s">
        <v>3353</v>
      </c>
      <c r="E67" s="0" t="s">
        <v>3354</v>
      </c>
      <c r="F67" s="0" t="s">
        <v>3219</v>
      </c>
      <c r="G67" s="0" t="s">
        <v>2057</v>
      </c>
    </row>
    <row customHeight="1" ht="11.25">
      <c r="A68" s="0" t="s">
        <v>16</v>
      </c>
      <c r="B68" s="0" t="s">
        <v>3355</v>
      </c>
      <c r="C68" s="0" t="s">
        <v>3356</v>
      </c>
      <c r="D68" s="0" t="s">
        <v>3357</v>
      </c>
      <c r="E68" s="0" t="s">
        <v>3358</v>
      </c>
      <c r="F68" s="0" t="s">
        <v>3237</v>
      </c>
      <c r="G68" s="0" t="s">
        <v>3359</v>
      </c>
    </row>
    <row customHeight="1" ht="11.25">
      <c r="A69" s="0" t="s">
        <v>16</v>
      </c>
      <c r="B69" s="0" t="s">
        <v>3355</v>
      </c>
      <c r="C69" s="0" t="s">
        <v>3356</v>
      </c>
      <c r="D69" s="0" t="s">
        <v>3360</v>
      </c>
      <c r="E69" s="0" t="s">
        <v>3361</v>
      </c>
      <c r="F69" s="0" t="s">
        <v>3237</v>
      </c>
      <c r="G69" s="0" t="s">
        <v>2260</v>
      </c>
    </row>
    <row customHeight="1" ht="11.25">
      <c r="A70" s="0" t="s">
        <v>16</v>
      </c>
      <c r="B70" s="0" t="s">
        <v>3355</v>
      </c>
      <c r="C70" s="0" t="s">
        <v>3356</v>
      </c>
      <c r="D70" s="0" t="s">
        <v>3362</v>
      </c>
      <c r="E70" s="0" t="s">
        <v>3363</v>
      </c>
      <c r="F70" s="0" t="s">
        <v>3237</v>
      </c>
      <c r="G70" s="0" t="s">
        <v>3364</v>
      </c>
    </row>
    <row customHeight="1" ht="11.25">
      <c r="A71" s="0" t="s">
        <v>16</v>
      </c>
      <c r="B71" s="0" t="s">
        <v>3355</v>
      </c>
      <c r="C71" s="0" t="s">
        <v>3356</v>
      </c>
      <c r="D71" s="0" t="s">
        <v>3365</v>
      </c>
      <c r="E71" s="0" t="s">
        <v>3366</v>
      </c>
      <c r="F71" s="0" t="s">
        <v>3237</v>
      </c>
      <c r="G71" s="0" t="s">
        <v>3367</v>
      </c>
    </row>
    <row customHeight="1" ht="11.25">
      <c r="A72" s="0" t="s">
        <v>16</v>
      </c>
      <c r="B72" s="0" t="s">
        <v>3355</v>
      </c>
      <c r="C72" s="0" t="s">
        <v>3356</v>
      </c>
      <c r="D72" s="0" t="s">
        <v>3368</v>
      </c>
      <c r="E72" s="0" t="s">
        <v>3369</v>
      </c>
      <c r="F72" s="0" t="s">
        <v>3237</v>
      </c>
      <c r="G72" s="0" t="s">
        <v>3370</v>
      </c>
    </row>
    <row customHeight="1" ht="11.25">
      <c r="A73" s="0" t="s">
        <v>16</v>
      </c>
      <c r="B73" s="0" t="s">
        <v>3355</v>
      </c>
      <c r="C73" s="0" t="s">
        <v>3356</v>
      </c>
      <c r="D73" s="0" t="s">
        <v>3355</v>
      </c>
      <c r="E73" s="0" t="s">
        <v>3356</v>
      </c>
      <c r="F73" s="0" t="s">
        <v>3238</v>
      </c>
      <c r="G73" s="0" t="s">
        <v>3371</v>
      </c>
    </row>
    <row customHeight="1" ht="11.25">
      <c r="A74" s="0" t="s">
        <v>16</v>
      </c>
      <c r="B74" s="0" t="s">
        <v>3355</v>
      </c>
      <c r="C74" s="0" t="s">
        <v>3356</v>
      </c>
      <c r="D74" s="0" t="s">
        <v>3372</v>
      </c>
      <c r="E74" s="0" t="s">
        <v>3373</v>
      </c>
      <c r="F74" s="0" t="s">
        <v>3237</v>
      </c>
      <c r="G74" s="0" t="s">
        <v>3374</v>
      </c>
    </row>
    <row customHeight="1" ht="11.25">
      <c r="A75" s="0" t="s">
        <v>16</v>
      </c>
      <c r="B75" s="0" t="s">
        <v>3355</v>
      </c>
      <c r="C75" s="0" t="s">
        <v>3356</v>
      </c>
      <c r="D75" s="0" t="s">
        <v>3375</v>
      </c>
      <c r="E75" s="0" t="s">
        <v>3376</v>
      </c>
      <c r="F75" s="0" t="s">
        <v>3237</v>
      </c>
      <c r="G75" s="0" t="s">
        <v>3377</v>
      </c>
    </row>
    <row customHeight="1" ht="11.25">
      <c r="A76" s="0" t="s">
        <v>16</v>
      </c>
      <c r="B76" s="0" t="s">
        <v>3355</v>
      </c>
      <c r="C76" s="0" t="s">
        <v>3356</v>
      </c>
      <c r="D76" s="0" t="s">
        <v>3378</v>
      </c>
      <c r="E76" s="0" t="s">
        <v>3379</v>
      </c>
      <c r="F76" s="0" t="s">
        <v>3237</v>
      </c>
      <c r="G76" s="0" t="s">
        <v>3380</v>
      </c>
    </row>
    <row customHeight="1" ht="11.25">
      <c r="A77" s="0" t="s">
        <v>16</v>
      </c>
      <c r="B77" s="0" t="s">
        <v>3381</v>
      </c>
      <c r="C77" s="0" t="s">
        <v>3382</v>
      </c>
      <c r="D77" s="0" t="s">
        <v>3381</v>
      </c>
      <c r="E77" s="0" t="s">
        <v>3382</v>
      </c>
      <c r="F77" s="0" t="s">
        <v>3219</v>
      </c>
      <c r="G77" s="0" t="s">
        <v>3383</v>
      </c>
    </row>
    <row customHeight="1" ht="11.25">
      <c r="A78" s="0" t="s">
        <v>16</v>
      </c>
      <c r="B78" s="0" t="s">
        <v>3384</v>
      </c>
      <c r="C78" s="0" t="s">
        <v>3385</v>
      </c>
      <c r="D78" s="0" t="s">
        <v>3384</v>
      </c>
      <c r="E78" s="0" t="s">
        <v>3385</v>
      </c>
      <c r="F78" s="0" t="s">
        <v>3222</v>
      </c>
      <c r="G78" s="0" t="s">
        <v>3386</v>
      </c>
    </row>
    <row customHeight="1" ht="11.25">
      <c r="A79" s="0" t="s">
        <v>16</v>
      </c>
      <c r="B79" s="0" t="s">
        <v>3387</v>
      </c>
      <c r="C79" s="0" t="s">
        <v>3388</v>
      </c>
      <c r="D79" s="0" t="s">
        <v>3387</v>
      </c>
      <c r="E79" s="0" t="s">
        <v>3388</v>
      </c>
      <c r="F79" s="0" t="s">
        <v>3219</v>
      </c>
      <c r="G79" s="0" t="s">
        <v>3389</v>
      </c>
    </row>
    <row customHeight="1" ht="11.25">
      <c r="A80" s="0" t="s">
        <v>16</v>
      </c>
      <c r="B80" s="0" t="s">
        <v>111</v>
      </c>
      <c r="C80" s="0" t="s">
        <v>112</v>
      </c>
      <c r="D80" s="0" t="s">
        <v>111</v>
      </c>
      <c r="E80" s="0" t="s">
        <v>112</v>
      </c>
      <c r="F80" s="0" t="s">
        <v>3219</v>
      </c>
      <c r="G80" s="0" t="s">
        <v>110</v>
      </c>
    </row>
    <row customHeight="1" ht="11.25">
      <c r="A81" s="0" t="s">
        <v>16</v>
      </c>
      <c r="B81" s="0" t="s">
        <v>3390</v>
      </c>
      <c r="C81" s="0" t="s">
        <v>3391</v>
      </c>
      <c r="D81" s="0" t="s">
        <v>3390</v>
      </c>
      <c r="E81" s="0" t="s">
        <v>3391</v>
      </c>
      <c r="F81" s="0" t="s">
        <v>3219</v>
      </c>
      <c r="G81" s="0" t="s">
        <v>3392</v>
      </c>
    </row>
    <row customHeight="1" ht="11.25">
      <c r="A82" s="0" t="s">
        <v>16</v>
      </c>
      <c r="B82" s="0" t="s">
        <v>3393</v>
      </c>
      <c r="C82" s="0" t="s">
        <v>3394</v>
      </c>
      <c r="D82" s="0" t="s">
        <v>3393</v>
      </c>
      <c r="E82" s="0" t="s">
        <v>3394</v>
      </c>
      <c r="F82" s="0" t="s">
        <v>3219</v>
      </c>
      <c r="G82" s="0" t="s">
        <v>3395</v>
      </c>
    </row>
    <row customHeight="1" ht="11.25">
      <c r="A83" s="0" t="s">
        <v>16</v>
      </c>
      <c r="B83" s="0" t="s">
        <v>3396</v>
      </c>
      <c r="C83" s="0" t="s">
        <v>3397</v>
      </c>
      <c r="D83" s="0" t="s">
        <v>3398</v>
      </c>
      <c r="E83" s="0" t="s">
        <v>3399</v>
      </c>
      <c r="F83" s="0" t="s">
        <v>3237</v>
      </c>
      <c r="G83" s="0" t="s">
        <v>3400</v>
      </c>
    </row>
    <row customHeight="1" ht="11.25">
      <c r="A84" s="0" t="s">
        <v>16</v>
      </c>
      <c r="B84" s="0" t="s">
        <v>3396</v>
      </c>
      <c r="C84" s="0" t="s">
        <v>3397</v>
      </c>
      <c r="D84" s="0" t="s">
        <v>3401</v>
      </c>
      <c r="E84" s="0" t="s">
        <v>3402</v>
      </c>
      <c r="F84" s="0" t="s">
        <v>3243</v>
      </c>
      <c r="G84" s="0" t="s">
        <v>3403</v>
      </c>
    </row>
    <row customHeight="1" ht="11.25">
      <c r="A85" s="0" t="s">
        <v>16</v>
      </c>
      <c r="B85" s="0" t="s">
        <v>3396</v>
      </c>
      <c r="C85" s="0" t="s">
        <v>3397</v>
      </c>
      <c r="D85" s="0" t="s">
        <v>3404</v>
      </c>
      <c r="E85" s="0" t="s">
        <v>3405</v>
      </c>
      <c r="F85" s="0" t="s">
        <v>3237</v>
      </c>
      <c r="G85" s="0" t="s">
        <v>3406</v>
      </c>
    </row>
    <row customHeight="1" ht="11.25">
      <c r="A86" s="0" t="s">
        <v>16</v>
      </c>
      <c r="B86" s="0" t="s">
        <v>3396</v>
      </c>
      <c r="C86" s="0" t="s">
        <v>3397</v>
      </c>
      <c r="D86" s="0" t="s">
        <v>3407</v>
      </c>
      <c r="E86" s="0" t="s">
        <v>3408</v>
      </c>
      <c r="F86" s="0" t="s">
        <v>3257</v>
      </c>
      <c r="G86" s="0" t="s">
        <v>3409</v>
      </c>
    </row>
    <row customHeight="1" ht="11.25">
      <c r="A87" s="0" t="s">
        <v>16</v>
      </c>
      <c r="B87" s="0" t="s">
        <v>3396</v>
      </c>
      <c r="C87" s="0" t="s">
        <v>3397</v>
      </c>
      <c r="D87" s="0" t="s">
        <v>3410</v>
      </c>
      <c r="E87" s="0" t="s">
        <v>3411</v>
      </c>
      <c r="F87" s="0" t="s">
        <v>3237</v>
      </c>
      <c r="G87" s="0" t="s">
        <v>3412</v>
      </c>
    </row>
    <row customHeight="1" ht="11.25">
      <c r="A88" s="0" t="s">
        <v>16</v>
      </c>
      <c r="B88" s="0" t="s">
        <v>3396</v>
      </c>
      <c r="C88" s="0" t="s">
        <v>3397</v>
      </c>
      <c r="D88" s="0" t="s">
        <v>3396</v>
      </c>
      <c r="E88" s="0" t="s">
        <v>3397</v>
      </c>
      <c r="F88" s="0" t="s">
        <v>3238</v>
      </c>
      <c r="G88" s="0" t="s">
        <v>3413</v>
      </c>
    </row>
    <row customHeight="1" ht="11.25">
      <c r="A89" s="0" t="s">
        <v>16</v>
      </c>
      <c r="B89" s="0" t="s">
        <v>3396</v>
      </c>
      <c r="C89" s="0" t="s">
        <v>3397</v>
      </c>
      <c r="D89" s="0" t="s">
        <v>3414</v>
      </c>
      <c r="E89" s="0" t="s">
        <v>3415</v>
      </c>
      <c r="F89" s="0" t="s">
        <v>3237</v>
      </c>
      <c r="G89" s="0" t="s">
        <v>3416</v>
      </c>
    </row>
    <row customHeight="1" ht="11.25">
      <c r="A90" s="0" t="s">
        <v>16</v>
      </c>
      <c r="B90" s="0" t="s">
        <v>3417</v>
      </c>
      <c r="C90" s="0" t="s">
        <v>3418</v>
      </c>
      <c r="D90" s="0" t="s">
        <v>3417</v>
      </c>
      <c r="E90" s="0" t="s">
        <v>3418</v>
      </c>
      <c r="F90" s="0" t="s">
        <v>3219</v>
      </c>
      <c r="G90" s="0" t="s">
        <v>3419</v>
      </c>
    </row>
    <row customHeight="1" ht="11.25">
      <c r="A91" s="0" t="s">
        <v>16</v>
      </c>
      <c r="B91" s="0" t="s">
        <v>3420</v>
      </c>
      <c r="C91" s="0" t="s">
        <v>3421</v>
      </c>
      <c r="D91" s="0" t="s">
        <v>3420</v>
      </c>
      <c r="E91" s="0" t="s">
        <v>3421</v>
      </c>
      <c r="F91" s="0" t="s">
        <v>3219</v>
      </c>
      <c r="G91" s="0" t="s">
        <v>3422</v>
      </c>
    </row>
    <row customHeight="1" ht="11.25">
      <c r="A92" s="0" t="s">
        <v>16</v>
      </c>
      <c r="B92" s="0" t="s">
        <v>3423</v>
      </c>
      <c r="C92" s="0" t="s">
        <v>3424</v>
      </c>
      <c r="D92" s="0" t="s">
        <v>3425</v>
      </c>
      <c r="E92" s="0" t="s">
        <v>3426</v>
      </c>
      <c r="F92" s="0" t="s">
        <v>3237</v>
      </c>
      <c r="G92" s="0" t="s">
        <v>3427</v>
      </c>
    </row>
    <row customHeight="1" ht="11.25">
      <c r="A93" s="0" t="s">
        <v>16</v>
      </c>
      <c r="B93" s="0" t="s">
        <v>3423</v>
      </c>
      <c r="C93" s="0" t="s">
        <v>3424</v>
      </c>
      <c r="D93" s="0" t="s">
        <v>3428</v>
      </c>
      <c r="E93" s="0" t="s">
        <v>3429</v>
      </c>
      <c r="F93" s="0" t="s">
        <v>3237</v>
      </c>
      <c r="G93" s="0" t="s">
        <v>3430</v>
      </c>
    </row>
    <row customHeight="1" ht="11.25">
      <c r="A94" s="0" t="s">
        <v>16</v>
      </c>
      <c r="B94" s="0" t="s">
        <v>3423</v>
      </c>
      <c r="C94" s="0" t="s">
        <v>3424</v>
      </c>
      <c r="D94" s="0" t="s">
        <v>3431</v>
      </c>
      <c r="E94" s="0" t="s">
        <v>3432</v>
      </c>
      <c r="F94" s="0" t="s">
        <v>3237</v>
      </c>
      <c r="G94" s="0" t="s">
        <v>3433</v>
      </c>
    </row>
    <row customHeight="1" ht="11.25">
      <c r="A95" s="0" t="s">
        <v>16</v>
      </c>
      <c r="B95" s="0" t="s">
        <v>3423</v>
      </c>
      <c r="C95" s="0" t="s">
        <v>3424</v>
      </c>
      <c r="D95" s="0" t="s">
        <v>3434</v>
      </c>
      <c r="E95" s="0" t="s">
        <v>3435</v>
      </c>
      <c r="F95" s="0" t="s">
        <v>3257</v>
      </c>
      <c r="G95" s="0" t="s">
        <v>3436</v>
      </c>
    </row>
    <row customHeight="1" ht="11.25">
      <c r="A96" s="0" t="s">
        <v>16</v>
      </c>
      <c r="B96" s="0" t="s">
        <v>3423</v>
      </c>
      <c r="C96" s="0" t="s">
        <v>3424</v>
      </c>
      <c r="D96" s="0" t="s">
        <v>3437</v>
      </c>
      <c r="E96" s="0" t="s">
        <v>3438</v>
      </c>
      <c r="F96" s="0" t="s">
        <v>3237</v>
      </c>
      <c r="G96" s="0" t="s">
        <v>3439</v>
      </c>
    </row>
    <row customHeight="1" ht="11.25">
      <c r="A97" s="0" t="s">
        <v>16</v>
      </c>
      <c r="B97" s="0" t="s">
        <v>3423</v>
      </c>
      <c r="C97" s="0" t="s">
        <v>3424</v>
      </c>
      <c r="D97" s="0" t="s">
        <v>3423</v>
      </c>
      <c r="E97" s="0" t="s">
        <v>3424</v>
      </c>
      <c r="F97" s="0" t="s">
        <v>3238</v>
      </c>
      <c r="G97" s="0" t="s">
        <v>3440</v>
      </c>
    </row>
    <row customHeight="1" ht="11.25">
      <c r="A98" s="0" t="s">
        <v>16</v>
      </c>
      <c r="B98" s="0" t="s">
        <v>3423</v>
      </c>
      <c r="C98" s="0" t="s">
        <v>3424</v>
      </c>
      <c r="D98" s="0" t="s">
        <v>3441</v>
      </c>
      <c r="E98" s="0" t="s">
        <v>3442</v>
      </c>
      <c r="F98" s="0" t="s">
        <v>3257</v>
      </c>
      <c r="G98" s="0" t="s">
        <v>3443</v>
      </c>
    </row>
    <row customHeight="1" ht="11.25">
      <c r="A99" s="0" t="s">
        <v>16</v>
      </c>
      <c r="B99" s="0" t="s">
        <v>3423</v>
      </c>
      <c r="C99" s="0" t="s">
        <v>3424</v>
      </c>
      <c r="D99" s="0" t="s">
        <v>3444</v>
      </c>
      <c r="E99" s="0" t="s">
        <v>3445</v>
      </c>
      <c r="F99" s="0" t="s">
        <v>3237</v>
      </c>
      <c r="G99" s="0" t="s">
        <v>3446</v>
      </c>
    </row>
    <row customHeight="1" ht="11.25">
      <c r="A100" s="0" t="s">
        <v>16</v>
      </c>
      <c r="B100" s="0" t="s">
        <v>3447</v>
      </c>
      <c r="C100" s="0" t="s">
        <v>3448</v>
      </c>
      <c r="D100" s="0" t="s">
        <v>3447</v>
      </c>
      <c r="E100" s="0" t="s">
        <v>3448</v>
      </c>
      <c r="F100" s="0" t="s">
        <v>3219</v>
      </c>
      <c r="G100" s="0" t="s">
        <v>3449</v>
      </c>
    </row>
    <row customHeight="1" ht="11.25">
      <c r="A101" s="0" t="s">
        <v>16</v>
      </c>
      <c r="B101" s="0" t="s">
        <v>3450</v>
      </c>
      <c r="C101" s="0" t="s">
        <v>3451</v>
      </c>
      <c r="D101" s="0" t="s">
        <v>3452</v>
      </c>
      <c r="E101" s="0" t="s">
        <v>3453</v>
      </c>
      <c r="F101" s="0" t="s">
        <v>3237</v>
      </c>
      <c r="G101" s="0" t="s">
        <v>3454</v>
      </c>
    </row>
    <row customHeight="1" ht="11.25">
      <c r="A102" s="0" t="s">
        <v>16</v>
      </c>
      <c r="B102" s="0" t="s">
        <v>3450</v>
      </c>
      <c r="C102" s="0" t="s">
        <v>3451</v>
      </c>
      <c r="D102" s="0" t="s">
        <v>3455</v>
      </c>
      <c r="E102" s="0" t="s">
        <v>3456</v>
      </c>
      <c r="F102" s="0" t="s">
        <v>3237</v>
      </c>
      <c r="G102" s="0" t="s">
        <v>3457</v>
      </c>
    </row>
    <row customHeight="1" ht="11.25">
      <c r="A103" s="0" t="s">
        <v>16</v>
      </c>
      <c r="B103" s="0" t="s">
        <v>3450</v>
      </c>
      <c r="C103" s="0" t="s">
        <v>3451</v>
      </c>
      <c r="D103" s="0" t="s">
        <v>3458</v>
      </c>
      <c r="E103" s="0" t="s">
        <v>3459</v>
      </c>
      <c r="F103" s="0" t="s">
        <v>3237</v>
      </c>
      <c r="G103" s="0" t="s">
        <v>3460</v>
      </c>
    </row>
    <row customHeight="1" ht="11.25">
      <c r="A104" s="0" t="s">
        <v>16</v>
      </c>
      <c r="B104" s="0" t="s">
        <v>3450</v>
      </c>
      <c r="C104" s="0" t="s">
        <v>3451</v>
      </c>
      <c r="D104" s="0" t="s">
        <v>3461</v>
      </c>
      <c r="E104" s="0" t="s">
        <v>3462</v>
      </c>
      <c r="F104" s="0" t="s">
        <v>3237</v>
      </c>
      <c r="G104" s="0" t="s">
        <v>3463</v>
      </c>
    </row>
    <row customHeight="1" ht="11.25">
      <c r="A105" s="0" t="s">
        <v>16</v>
      </c>
      <c r="B105" s="0" t="s">
        <v>3450</v>
      </c>
      <c r="C105" s="0" t="s">
        <v>3451</v>
      </c>
      <c r="D105" s="0" t="s">
        <v>3450</v>
      </c>
      <c r="E105" s="0" t="s">
        <v>3451</v>
      </c>
      <c r="F105" s="0" t="s">
        <v>3238</v>
      </c>
      <c r="G105" s="0" t="s">
        <v>3464</v>
      </c>
    </row>
    <row customHeight="1" ht="11.25">
      <c r="A106" s="0" t="s">
        <v>16</v>
      </c>
      <c r="B106" s="0" t="s">
        <v>3450</v>
      </c>
      <c r="C106" s="0" t="s">
        <v>3451</v>
      </c>
      <c r="D106" s="0" t="s">
        <v>3465</v>
      </c>
      <c r="E106" s="0" t="s">
        <v>3466</v>
      </c>
      <c r="F106" s="0" t="s">
        <v>3237</v>
      </c>
      <c r="G106" s="0" t="s">
        <v>3467</v>
      </c>
    </row>
    <row customHeight="1" ht="11.25">
      <c r="A107" s="0" t="s">
        <v>16</v>
      </c>
      <c r="B107" s="0" t="s">
        <v>3468</v>
      </c>
      <c r="C107" s="0" t="s">
        <v>3469</v>
      </c>
      <c r="D107" s="0" t="s">
        <v>3468</v>
      </c>
      <c r="E107" s="0" t="s">
        <v>3469</v>
      </c>
      <c r="F107" s="0" t="s">
        <v>3222</v>
      </c>
      <c r="G107" s="0" t="s">
        <v>3470</v>
      </c>
    </row>
    <row customHeight="1" ht="11.25">
      <c r="A108" s="0" t="s">
        <v>16</v>
      </c>
      <c r="B108" s="0" t="s">
        <v>3471</v>
      </c>
      <c r="C108" s="0" t="s">
        <v>3472</v>
      </c>
      <c r="D108" s="0" t="s">
        <v>3471</v>
      </c>
      <c r="E108" s="0" t="s">
        <v>3472</v>
      </c>
      <c r="F108" s="0" t="s">
        <v>3222</v>
      </c>
      <c r="G108" s="0" t="s">
        <v>3473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180178-C4F8-EB38-4238-F07CFB7812F9}"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3535</v>
      </c>
      <c r="B1" s="836" t="s">
        <v>3536</v>
      </c>
      <c r="C1" s="836" t="s">
        <v>1203</v>
      </c>
    </row>
    <row customHeight="1" ht="11.25">
      <c r="A2" s="836">
        <v>4189678</v>
      </c>
      <c r="B2" s="836" t="s">
        <v>3537</v>
      </c>
      <c r="C2" s="836" t="s">
        <v>3538</v>
      </c>
    </row>
    <row customHeight="1" ht="11.25">
      <c r="A3" s="836">
        <v>4190415</v>
      </c>
      <c r="B3" s="836" t="s">
        <v>3539</v>
      </c>
      <c r="C3" s="836" t="s">
        <v>3538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C69C88-388F-5342-2768-36ADFB7BEFF9}"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3540</v>
      </c>
      <c r="B1" s="164" t="s">
        <v>3541</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306F7C-E984-9F37-2518-282ADCF6AA0D}"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3542</v>
      </c>
      <c r="B1" s="0" t="b">
        <v>1</v>
      </c>
    </row>
    <row customHeight="1" ht="11.25">
      <c r="A2" s="0" t="s">
        <v>3543</v>
      </c>
      <c r="B2" s="0" t="b">
        <v>0</v>
      </c>
    </row>
    <row customHeight="1" ht="11.25">
      <c r="A3" s="0" t="s">
        <v>3544</v>
      </c>
      <c r="B3" s="0" t="b">
        <v>1</v>
      </c>
    </row>
    <row customHeight="1" ht="11.25">
      <c r="A4" s="0" t="s">
        <v>3545</v>
      </c>
      <c r="B4" s="0" t="b">
        <v>0</v>
      </c>
    </row>
    <row customHeight="1" ht="11.25">
      <c r="A5" s="0" t="s">
        <v>3546</v>
      </c>
      <c r="B5" s="0" t="b">
        <v>0</v>
      </c>
    </row>
    <row customHeight="1" ht="11.25">
      <c r="A6" s="0" t="s">
        <v>3547</v>
      </c>
      <c r="B6" s="0" t="b">
        <v>0</v>
      </c>
    </row>
    <row customHeight="1" ht="11.25">
      <c r="A7" s="0" t="s">
        <v>3548</v>
      </c>
      <c r="B7" s="0" t="b">
        <v>0</v>
      </c>
    </row>
    <row customHeight="1" ht="11.25">
      <c r="A8" s="0" t="s">
        <v>3549</v>
      </c>
      <c r="B8" s="0" t="b">
        <v>0</v>
      </c>
    </row>
    <row customHeight="1" ht="11.25">
      <c r="A9" s="0" t="s">
        <v>3550</v>
      </c>
      <c r="B9" s="0" t="b">
        <v>1</v>
      </c>
    </row>
    <row customHeight="1" ht="11.25">
      <c r="A10" s="0" t="s">
        <v>3551</v>
      </c>
      <c r="B10" s="0" t="b">
        <v>0</v>
      </c>
    </row>
    <row customHeight="1" ht="11.25">
      <c r="A11" s="0" t="s">
        <v>3552</v>
      </c>
      <c r="B11" s="0" t="b">
        <v>0</v>
      </c>
    </row>
    <row customHeight="1" ht="11.25">
      <c r="A12" s="0" t="s">
        <v>3553</v>
      </c>
      <c r="B12" s="0" t="b">
        <v>0</v>
      </c>
    </row>
    <row customHeight="1" ht="11.25">
      <c r="A13" s="0" t="s">
        <v>3554</v>
      </c>
      <c r="B13" s="0" t="b">
        <v>0</v>
      </c>
    </row>
    <row customHeight="1" ht="11.25">
      <c r="A14" s="0" t="s">
        <v>3555</v>
      </c>
      <c r="B14" s="0" t="b">
        <v>0</v>
      </c>
    </row>
    <row customHeight="1" ht="11.25">
      <c r="A15" s="0" t="s">
        <v>3556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818C78-BDD8-A0A8-58B8-C47F1850EDD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1A0148-DB08-F75C-5848-E6CADF394CC6}"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3557</v>
      </c>
      <c r="B1" s="68" t="s">
        <v>3558</v>
      </c>
    </row>
    <row customHeight="1" ht="11.25">
      <c r="A2" s="65" t="s">
        <v>3559</v>
      </c>
      <c r="B2" s="65" t="s">
        <v>3560</v>
      </c>
    </row>
    <row customHeight="1" ht="11.25">
      <c r="A3" s="65" t="s">
        <v>3561</v>
      </c>
      <c r="B3" s="65" t="s">
        <v>3562</v>
      </c>
    </row>
    <row customHeight="1" ht="11.25">
      <c r="A4" s="65" t="s">
        <v>3563</v>
      </c>
      <c r="B4" s="65" t="s">
        <v>3564</v>
      </c>
    </row>
    <row customHeight="1" ht="11.25">
      <c r="A5" s="65" t="s">
        <v>3565</v>
      </c>
      <c r="B5" s="65" t="s">
        <v>3566</v>
      </c>
    </row>
    <row customHeight="1" ht="11.25">
      <c r="A6" s="65" t="s">
        <v>3567</v>
      </c>
      <c r="B6" s="65" t="s">
        <v>3568</v>
      </c>
    </row>
    <row customHeight="1" ht="11.25">
      <c r="A7" s="65" t="s">
        <v>3569</v>
      </c>
      <c r="B7" s="65" t="s">
        <v>3570</v>
      </c>
    </row>
    <row customHeight="1" ht="11.25">
      <c r="A8" s="65" t="s">
        <v>3571</v>
      </c>
      <c r="B8" s="65" t="s">
        <v>3572</v>
      </c>
    </row>
    <row customHeight="1" ht="11.25">
      <c r="A9" s="65" t="s">
        <v>3573</v>
      </c>
      <c r="B9" s="65" t="s">
        <v>3574</v>
      </c>
    </row>
    <row customHeight="1" ht="11.25">
      <c r="A10" s="65" t="s">
        <v>3575</v>
      </c>
      <c r="B10" s="65" t="s">
        <v>3576</v>
      </c>
    </row>
    <row customHeight="1" ht="11.25">
      <c r="A11" s="65" t="s">
        <v>3577</v>
      </c>
      <c r="B11" s="65" t="s">
        <v>3578</v>
      </c>
    </row>
    <row customHeight="1" ht="11.25">
      <c r="A12" s="65" t="s">
        <v>3579</v>
      </c>
      <c r="B12" s="65" t="s">
        <v>3580</v>
      </c>
    </row>
    <row customHeight="1" ht="11.25">
      <c r="A13" s="65" t="s">
        <v>3581</v>
      </c>
      <c r="B13" s="65" t="s">
        <v>3582</v>
      </c>
    </row>
    <row customHeight="1" ht="11.25">
      <c r="A14" s="65" t="s">
        <v>3583</v>
      </c>
      <c r="B14" s="65" t="s">
        <v>3584</v>
      </c>
    </row>
    <row customHeight="1" ht="11.25">
      <c r="A15" s="65" t="s">
        <v>3585</v>
      </c>
      <c r="B15" s="65" t="s">
        <v>3586</v>
      </c>
    </row>
    <row customHeight="1" ht="11.25">
      <c r="A16" s="65" t="s">
        <v>3587</v>
      </c>
      <c r="B16" s="65" t="s">
        <v>3588</v>
      </c>
    </row>
    <row customHeight="1" ht="11.25">
      <c r="A17" s="65" t="s">
        <v>3589</v>
      </c>
      <c r="B17" s="65" t="s">
        <v>3590</v>
      </c>
    </row>
    <row customHeight="1" ht="11.25">
      <c r="A18" s="65" t="s">
        <v>3591</v>
      </c>
      <c r="B18" s="65" t="s">
        <v>3592</v>
      </c>
    </row>
    <row customHeight="1" ht="11.25">
      <c r="A19" s="65" t="s">
        <v>3593</v>
      </c>
      <c r="B19" s="65" t="s">
        <v>3594</v>
      </c>
    </row>
    <row customHeight="1" ht="11.25">
      <c r="A20" s="65" t="s">
        <v>3595</v>
      </c>
      <c r="B20" s="65" t="s">
        <v>3596</v>
      </c>
    </row>
    <row customHeight="1" ht="11.25">
      <c r="A21" s="65" t="s">
        <v>3597</v>
      </c>
      <c r="B21" s="65" t="s">
        <v>3598</v>
      </c>
    </row>
    <row customHeight="1" ht="11.25">
      <c r="A22" s="65" t="s">
        <v>3599</v>
      </c>
      <c r="B22" s="65" t="s">
        <v>3600</v>
      </c>
    </row>
    <row customHeight="1" ht="11.25">
      <c r="A23" s="65" t="s">
        <v>3601</v>
      </c>
      <c r="B23" s="65" t="s">
        <v>3602</v>
      </c>
    </row>
    <row customHeight="1" ht="11.25">
      <c r="A24" s="65" t="s">
        <v>3603</v>
      </c>
      <c r="B24" s="65" t="s">
        <v>3604</v>
      </c>
    </row>
    <row customHeight="1" ht="11.25">
      <c r="A25" s="65" t="s">
        <v>3605</v>
      </c>
      <c r="B25" s="65" t="s">
        <v>3606</v>
      </c>
    </row>
    <row customHeight="1" ht="11.25">
      <c r="A26" s="65" t="s">
        <v>3607</v>
      </c>
      <c r="B26" s="65" t="s">
        <v>3608</v>
      </c>
    </row>
    <row customHeight="1" ht="11.25">
      <c r="A27" s="65" t="s">
        <v>3609</v>
      </c>
      <c r="B27" s="65" t="s">
        <v>3610</v>
      </c>
    </row>
    <row customHeight="1" ht="11.25">
      <c r="A28" s="65" t="s">
        <v>3611</v>
      </c>
      <c r="B28" s="65" t="s">
        <v>3612</v>
      </c>
    </row>
    <row customHeight="1" ht="11.25">
      <c r="A29" s="65" t="s">
        <v>3613</v>
      </c>
      <c r="B29" s="65" t="s">
        <v>3614</v>
      </c>
    </row>
    <row customHeight="1" ht="11.25">
      <c r="A30" s="65" t="s">
        <v>3615</v>
      </c>
      <c r="B30" s="65" t="s">
        <v>3616</v>
      </c>
    </row>
    <row customHeight="1" ht="11.25">
      <c r="A31" s="65" t="s">
        <v>3617</v>
      </c>
      <c r="B31" s="65" t="s">
        <v>3618</v>
      </c>
    </row>
    <row customHeight="1" ht="11.25">
      <c r="A32" s="65" t="s">
        <v>3619</v>
      </c>
      <c r="B32" s="65" t="s">
        <v>3620</v>
      </c>
    </row>
    <row customHeight="1" ht="11.25">
      <c r="A33" s="65" t="s">
        <v>3621</v>
      </c>
      <c r="B33" s="65" t="s">
        <v>3622</v>
      </c>
    </row>
    <row customHeight="1" ht="11.25">
      <c r="A34" s="65" t="s">
        <v>3623</v>
      </c>
      <c r="B34" s="65" t="s">
        <v>3624</v>
      </c>
    </row>
    <row customHeight="1" ht="11.25">
      <c r="A35" s="65" t="s">
        <v>3625</v>
      </c>
      <c r="B35" s="65" t="s">
        <v>3626</v>
      </c>
    </row>
    <row customHeight="1" ht="11.25">
      <c r="A36" s="65" t="s">
        <v>3627</v>
      </c>
      <c r="B36" s="65" t="s">
        <v>3628</v>
      </c>
    </row>
    <row customHeight="1" ht="11.25">
      <c r="A37" s="65" t="s">
        <v>3629</v>
      </c>
      <c r="B37" s="65" t="s">
        <v>3630</v>
      </c>
    </row>
    <row customHeight="1" ht="11.25">
      <c r="A38" s="65" t="s">
        <v>3631</v>
      </c>
      <c r="B38" s="65" t="s">
        <v>3632</v>
      </c>
    </row>
    <row customHeight="1" ht="11.25">
      <c r="A39" s="65" t="s">
        <v>3633</v>
      </c>
      <c r="B39" s="65" t="s">
        <v>3634</v>
      </c>
    </row>
    <row customHeight="1" ht="11.25">
      <c r="A40" s="65" t="s">
        <v>3635</v>
      </c>
      <c r="B40" s="65" t="s">
        <v>3636</v>
      </c>
    </row>
    <row customHeight="1" ht="11.25">
      <c r="A41" s="65" t="s">
        <v>3637</v>
      </c>
      <c r="B41" s="65" t="s">
        <v>3638</v>
      </c>
    </row>
    <row customHeight="1" ht="11.25">
      <c r="A42" s="65" t="s">
        <v>3639</v>
      </c>
      <c r="B42" s="65" t="s">
        <v>3640</v>
      </c>
    </row>
    <row customHeight="1" ht="11.25">
      <c r="A43" s="65" t="s">
        <v>3641</v>
      </c>
      <c r="B43" s="65" t="s">
        <v>3642</v>
      </c>
    </row>
    <row customHeight="1" ht="11.25">
      <c r="A44" s="65" t="s">
        <v>3643</v>
      </c>
      <c r="B44" s="65" t="s">
        <v>3644</v>
      </c>
    </row>
    <row customHeight="1" ht="11.25">
      <c r="A45" s="65" t="s">
        <v>3645</v>
      </c>
      <c r="B45" s="65" t="s">
        <v>3646</v>
      </c>
    </row>
    <row customHeight="1" ht="11.25">
      <c r="A46" s="65" t="s">
        <v>3647</v>
      </c>
      <c r="B46" s="65" t="s">
        <v>3648</v>
      </c>
    </row>
    <row customHeight="1" ht="11.25">
      <c r="A47" s="65" t="s">
        <v>3649</v>
      </c>
      <c r="B47" s="65" t="s">
        <v>3650</v>
      </c>
    </row>
    <row customHeight="1" ht="11.25">
      <c r="A48" s="65" t="s">
        <v>3651</v>
      </c>
      <c r="B48" s="65" t="s">
        <v>3652</v>
      </c>
    </row>
    <row customHeight="1" ht="11.25">
      <c r="A49" s="65" t="s">
        <v>3653</v>
      </c>
      <c r="B49" s="65" t="s">
        <v>3654</v>
      </c>
    </row>
    <row customHeight="1" ht="11.25">
      <c r="A50" s="65" t="s">
        <v>3655</v>
      </c>
      <c r="B50" s="65" t="s">
        <v>3656</v>
      </c>
    </row>
    <row customHeight="1" ht="11.25">
      <c r="A51" s="65" t="s">
        <v>3657</v>
      </c>
      <c r="B51" s="65" t="s">
        <v>3658</v>
      </c>
    </row>
    <row customHeight="1" ht="11.25">
      <c r="A52" s="65" t="s">
        <v>3659</v>
      </c>
      <c r="B52" s="65" t="s">
        <v>3660</v>
      </c>
    </row>
    <row customHeight="1" ht="11.25">
      <c r="A53" s="65" t="s">
        <v>3661</v>
      </c>
      <c r="B53" s="65" t="s">
        <v>3662</v>
      </c>
    </row>
    <row customHeight="1" ht="11.25">
      <c r="A54" s="65" t="s">
        <v>3663</v>
      </c>
      <c r="B54" s="65" t="s">
        <v>3664</v>
      </c>
    </row>
    <row customHeight="1" ht="11.25">
      <c r="A55" s="65" t="s">
        <v>3665</v>
      </c>
      <c r="B55" s="65" t="s">
        <v>3666</v>
      </c>
    </row>
    <row customHeight="1" ht="11.25">
      <c r="A56" s="65" t="s">
        <v>3667</v>
      </c>
      <c r="B56" s="65" t="s">
        <v>3668</v>
      </c>
    </row>
    <row customHeight="1" ht="11.25">
      <c r="A57" s="65" t="s">
        <v>3669</v>
      </c>
      <c r="B57" s="65" t="s">
        <v>3670</v>
      </c>
    </row>
    <row customHeight="1" ht="11.25">
      <c r="A58" s="65" t="s">
        <v>3671</v>
      </c>
      <c r="B58" s="65" t="s">
        <v>3672</v>
      </c>
    </row>
    <row customHeight="1" ht="11.25">
      <c r="A59" s="65" t="s">
        <v>3673</v>
      </c>
      <c r="B59" s="65" t="s">
        <v>3674</v>
      </c>
    </row>
    <row customHeight="1" ht="11.25">
      <c r="A60" s="65" t="s">
        <v>3675</v>
      </c>
      <c r="B60" s="65" t="s">
        <v>3676</v>
      </c>
    </row>
    <row customHeight="1" ht="11.25">
      <c r="A61" s="65"/>
      <c r="B61" s="65" t="s">
        <v>3677</v>
      </c>
    </row>
    <row customHeight="1" ht="11.25">
      <c r="A62" s="65"/>
      <c r="B62" s="65" t="s">
        <v>3678</v>
      </c>
    </row>
    <row customHeight="1" ht="11.25">
      <c r="A63" s="65"/>
      <c r="B63" s="65" t="s">
        <v>3679</v>
      </c>
    </row>
    <row customHeight="1" ht="11.25">
      <c r="A64" s="65"/>
      <c r="B64" s="65" t="s">
        <v>3680</v>
      </c>
    </row>
    <row customHeight="1" ht="11.25">
      <c r="A65" s="65"/>
      <c r="B65" s="65" t="s">
        <v>3681</v>
      </c>
    </row>
    <row customHeight="1" ht="11.25">
      <c r="A66" s="65"/>
      <c r="B66" s="65" t="s">
        <v>3682</v>
      </c>
    </row>
    <row customHeight="1" ht="11.25">
      <c r="A67" s="65"/>
      <c r="B67" s="65" t="s">
        <v>3683</v>
      </c>
    </row>
    <row customHeight="1" ht="11.25">
      <c r="A68" s="65"/>
      <c r="B68" s="65" t="s">
        <v>3684</v>
      </c>
    </row>
    <row customHeight="1" ht="11.25">
      <c r="A69" s="65"/>
      <c r="B69" s="65" t="s">
        <v>3685</v>
      </c>
    </row>
    <row customHeight="1" ht="11.25">
      <c r="A70" s="65"/>
      <c r="B70" s="65" t="s">
        <v>3686</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38ABD8-5748-4A6A-650B-0C64026C903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3687</v>
      </c>
    </row>
    <row customHeight="1" ht="90">
      <c r="B2" s="95" t="s">
        <v>3688</v>
      </c>
    </row>
    <row customHeight="1" ht="67.5">
      <c r="B3" s="95" t="s">
        <v>3689</v>
      </c>
    </row>
    <row customHeight="1" ht="33.75">
      <c r="B4" s="95" t="s">
        <v>3690</v>
      </c>
    </row>
    <row customHeight="1" ht="11.25">
      <c r="B5" s="95" t="s">
        <v>3691</v>
      </c>
    </row>
    <row customHeight="1" ht="22.5">
      <c r="B6" s="95" t="s">
        <v>3692</v>
      </c>
    </row>
    <row customHeight="1" ht="22.5">
      <c r="B7" s="95" t="s">
        <v>3693</v>
      </c>
    </row>
    <row customHeight="1" ht="22.5">
      <c r="B8" s="95" t="s">
        <v>3694</v>
      </c>
    </row>
    <row customHeight="1" ht="22.5">
      <c r="B9" s="95" t="s">
        <v>3695</v>
      </c>
    </row>
    <row customHeight="1" ht="56.25">
      <c r="B10" s="95" t="s">
        <v>3696</v>
      </c>
    </row>
    <row customHeight="1" ht="12.75">
      <c r="B11" s="160" t="s">
        <v>3697</v>
      </c>
    </row>
    <row customHeight="1" ht="11.25">
      <c r="B12" s="94" t="s">
        <v>3698</v>
      </c>
    </row>
    <row customHeight="1" ht="22.5">
      <c r="B13" s="95" t="s">
        <v>3699</v>
      </c>
    </row>
    <row customHeight="1" ht="67.5">
      <c r="B14" s="95" t="s">
        <v>3700</v>
      </c>
    </row>
    <row customHeight="1" ht="22.5">
      <c r="B15" s="95" t="s">
        <v>3701</v>
      </c>
    </row>
    <row customHeight="1" ht="11.25">
      <c r="B16" s="94" t="s">
        <v>3702</v>
      </c>
      <c r="D16" s="101"/>
    </row>
    <row customHeight="1" ht="33.75">
      <c r="B17" s="95" t="s">
        <v>3703</v>
      </c>
    </row>
    <row customHeight="1" ht="33.75">
      <c r="B18" s="95" t="s">
        <v>3704</v>
      </c>
    </row>
    <row customHeight="1" ht="11.25">
      <c r="B19" s="95" t="s">
        <v>3705</v>
      </c>
    </row>
    <row customHeight="1" ht="33.75">
      <c r="B20" s="95" t="s">
        <v>3706</v>
      </c>
    </row>
    <row customHeight="1" ht="11.25">
      <c r="B21" s="94" t="s">
        <v>3707</v>
      </c>
    </row>
    <row customHeight="1" ht="11.25">
      <c r="B22" s="95" t="s">
        <v>3708</v>
      </c>
    </row>
    <row r="24" customHeight="1" ht="22.5">
      <c r="B24" s="162" t="s">
        <v>3709</v>
      </c>
    </row>
    <row r="26" customHeight="1" ht="11.25">
      <c r="B26" s="94" t="s">
        <v>3710</v>
      </c>
    </row>
    <row customHeight="1" ht="22.5">
      <c r="B27" s="161" t="s">
        <v>429</v>
      </c>
    </row>
    <row customHeight="1" ht="56.25">
      <c r="B28" s="161" t="s">
        <v>3711</v>
      </c>
    </row>
    <row customHeight="1" ht="11.25">
      <c r="B29" s="211" t="s">
        <v>3712</v>
      </c>
    </row>
    <row customHeight="1" ht="22.5">
      <c r="B30" s="161" t="s">
        <v>3713</v>
      </c>
    </row>
    <row r="32" customHeight="1" ht="11.25">
      <c r="A32" s="189"/>
      <c r="B32" s="190" t="s">
        <v>3714</v>
      </c>
    </row>
    <row customHeight="1" ht="14.25">
      <c r="A33" s="191">
        <v>1</v>
      </c>
      <c r="B33" s="192" t="s">
        <v>3715</v>
      </c>
    </row>
    <row customHeight="1" ht="14.25">
      <c r="A34" s="191">
        <v>2</v>
      </c>
      <c r="B34" s="192" t="s">
        <v>3716</v>
      </c>
    </row>
    <row customHeight="1" ht="11.25">
      <c r="B35" s="190" t="s">
        <v>3717</v>
      </c>
    </row>
    <row customHeight="1" ht="11.25">
      <c r="B36" s="192" t="s">
        <v>3718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